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75" windowWidth="10380" windowHeight="6495" tabRatio="891" firstSheet="4" activeTab="7"/>
  </bookViews>
  <sheets>
    <sheet name="خلاصه اهم برنامه ها و مفروضات" sheetId="1" state="hidden" r:id="rId1"/>
    <sheet name="بهای تمام شده کالای " sheetId="2" state="hidden" r:id="rId2"/>
    <sheet name="بهای تمام شده پروژه ها" sheetId="3" state="hidden" r:id="rId3"/>
    <sheet name="هزينه هاي سربار " sheetId="4" state="hidden" r:id="rId4"/>
    <sheet name="سایر درآمدهای عملیاتی" sheetId="5" r:id="rId5"/>
    <sheet name="سایر درآمدهای غیر عملیاتی " sheetId="6" r:id="rId6"/>
    <sheet name="مالیات " sheetId="7" state="hidden" r:id="rId7"/>
    <sheet name="جدول پروژه ها " sheetId="8" r:id="rId8"/>
    <sheet name="جدول وضعیت نقدینگی پروژه ها" sheetId="9" state="hidden" r:id="rId9"/>
    <sheet name="جدول تامین کسری نقدینگی " sheetId="10" state="hidden" r:id="rId10"/>
    <sheet name="جدول تامين كسري نقدينگي" sheetId="11" state="hidden" r:id="rId11"/>
  </sheets>
  <externalReferences>
    <externalReference r:id="rId14"/>
  </externalReferences>
  <definedNames>
    <definedName name="LastCell" localSheetId="1">#REF!</definedName>
    <definedName name="LastCell" localSheetId="4">'سایر درآمدهای عملیاتی'!#REF!</definedName>
    <definedName name="LastCell" localSheetId="5">'سایر درآمدهای غیر عملیاتی '!#REF!</definedName>
    <definedName name="LastCell">#REF!</definedName>
    <definedName name="_xlnm.Print_Area" localSheetId="2">'بهای تمام شده پروژه ها'!$A$1:$R$52</definedName>
    <definedName name="_xlnm.Print_Area" localSheetId="1">'بهای تمام شده کالای '!$A$1:$Z$27</definedName>
    <definedName name="_xlnm.Print_Area" localSheetId="7">'جدول پروژه ها '!$A$1:$AK$106</definedName>
    <definedName name="_xlnm.Print_Area" localSheetId="9">'جدول تامین کسری نقدینگی '!$A$1:$I$17</definedName>
    <definedName name="_xlnm.Print_Area" localSheetId="8">'جدول وضعیت نقدینگی پروژه ها'!$A$1:$BO$28</definedName>
    <definedName name="_xlnm.Print_Area" localSheetId="0">'خلاصه اهم برنامه ها و مفروضات'!$A$1:$S$28</definedName>
    <definedName name="_xlnm.Print_Area" localSheetId="4">'سایر درآمدهای عملیاتی'!$A$1:$P$59</definedName>
    <definedName name="_xlnm.Print_Area" localSheetId="5">'سایر درآمدهای غیر عملیاتی '!$A$1:$P$51</definedName>
    <definedName name="_xlnm.Print_Area" localSheetId="6">'مالیات '!$A$1:$I$38</definedName>
    <definedName name="_xlnm.Print_Area" localSheetId="3">'هزينه هاي سربار '!$A$1:$R$39</definedName>
    <definedName name="StartCell" localSheetId="1">#REF!</definedName>
    <definedName name="StartCell" localSheetId="4">'سایر درآمدهای عملیاتی'!#REF!</definedName>
    <definedName name="StartCell" localSheetId="5">'سایر درآمدهای غیر عملیاتی '!#REF!</definedName>
    <definedName name="StartCell">#REF!</definedName>
  </definedNames>
  <calcPr fullCalcOnLoad="1"/>
</workbook>
</file>

<file path=xl/comments7.xml><?xml version="1.0" encoding="utf-8"?>
<comments xmlns="http://schemas.openxmlformats.org/spreadsheetml/2006/main">
  <authors>
    <author>zhila jafarian</author>
  </authors>
  <commentList>
    <comment ref="D8" authorId="0">
      <text>
        <r>
          <rPr>
            <sz val="8"/>
            <rFont val="Tahoma"/>
            <family val="2"/>
          </rPr>
          <t xml:space="preserve">
 باعنايت به اينكه فعاليت شركت در چار چوب عمليات انبوه سازي شناخته  شده است (با استناد برگ تشخيص شماره 1339/20418مورخه 82/4/30) ماليات درآمدهاي عملياتي  شركت  برابر ماده 59 و 77 قانون  مالياتهاي  مستقيم در زمان انتقال سند مالكيت بنام خريداران ، در وجه حوزه مالياتي ذيربط پرداخت مي گردد.ضمنا با عنايت به اينكه در مفاد قراردادهاي فروش پرداخت كليه مالياتهاي مذكوربعهده خريدار واگذار شده است لذا شــركت از ايـن بـابت در حسابها ذخيره اي منظور نمي نمايد.</t>
        </r>
      </text>
    </comment>
  </commentList>
</comments>
</file>

<file path=xl/comments8.xml><?xml version="1.0" encoding="utf-8"?>
<comments xmlns="http://schemas.openxmlformats.org/spreadsheetml/2006/main">
  <authors>
    <author>zhila jafarian</author>
  </authors>
  <commentList>
    <comment ref="B27" authorId="0">
      <text>
        <r>
          <rPr>
            <b/>
            <sz val="8"/>
            <rFont val="Tahoma"/>
            <family val="2"/>
          </rPr>
          <t xml:space="preserve">كلا در سال مالي 92 فروخته شده 
</t>
        </r>
      </text>
    </comment>
    <comment ref="B28" authorId="0">
      <text>
        <r>
          <rPr>
            <sz val="8"/>
            <rFont val="Tahoma"/>
            <family val="2"/>
          </rPr>
          <t xml:space="preserve">كلا در سال مالي 92 فروخته شده
</t>
        </r>
      </text>
    </comment>
    <comment ref="B29" authorId="0">
      <text>
        <r>
          <rPr>
            <b/>
            <sz val="8"/>
            <rFont val="Tahoma"/>
            <family val="2"/>
          </rPr>
          <t xml:space="preserve">كلا در سال مالي 92 فروخته شده
</t>
        </r>
        <r>
          <rPr>
            <sz val="8"/>
            <rFont val="Tahoma"/>
            <family val="2"/>
          </rPr>
          <t xml:space="preserve">
</t>
        </r>
      </text>
    </comment>
    <comment ref="B31" authorId="0">
      <text>
        <r>
          <rPr>
            <b/>
            <sz val="8"/>
            <rFont val="Tahoma"/>
            <family val="2"/>
          </rPr>
          <t>كلا در سال مالي 92 فروخته شده</t>
        </r>
      </text>
    </comment>
  </commentList>
</comments>
</file>

<file path=xl/sharedStrings.xml><?xml version="1.0" encoding="utf-8"?>
<sst xmlns="http://schemas.openxmlformats.org/spreadsheetml/2006/main" count="525" uniqueCount="254">
  <si>
    <t>جمع</t>
  </si>
  <si>
    <t>میلیون ریال</t>
  </si>
  <si>
    <t xml:space="preserve">جمع </t>
  </si>
  <si>
    <t xml:space="preserve">پيش بيني ساليانه </t>
  </si>
  <si>
    <t> مشخصات پروژه</t>
  </si>
  <si>
    <t>نام پروژه</t>
  </si>
  <si>
    <t>محل اجرای پروژه</t>
  </si>
  <si>
    <t>تعداد واحد</t>
  </si>
  <si>
    <t>برآورد مبلغ فروش کل پروژه</t>
  </si>
  <si>
    <t>متراژ</t>
  </si>
  <si>
    <t xml:space="preserve">درآمد حاصل از فروش و ارائه خدمات </t>
  </si>
  <si>
    <t xml:space="preserve"> بهای تمام شده كالاي  فروش رفته  و خدمات ارائه شده </t>
  </si>
  <si>
    <t xml:space="preserve">عنوان پروژه : </t>
  </si>
  <si>
    <t xml:space="preserve">عنوان هزينه  / مخارج پروژه </t>
  </si>
  <si>
    <t xml:space="preserve">يادداشت </t>
  </si>
  <si>
    <t>حقوق و مزایا</t>
  </si>
  <si>
    <t>استهلاك</t>
  </si>
  <si>
    <t xml:space="preserve">آگهي وتبليغات </t>
  </si>
  <si>
    <t>بيمه وعوارض</t>
  </si>
  <si>
    <t>حسابرسي</t>
  </si>
  <si>
    <t>اجاره</t>
  </si>
  <si>
    <t>حمل و نقل</t>
  </si>
  <si>
    <t>ساير هزينه ها</t>
  </si>
  <si>
    <t xml:space="preserve">عيدي و پاداش </t>
  </si>
  <si>
    <t xml:space="preserve">اضافه كاري </t>
  </si>
  <si>
    <t xml:space="preserve">بيمه سهم كارفرما </t>
  </si>
  <si>
    <t xml:space="preserve">سفر و فوق العاده ماموريت </t>
  </si>
  <si>
    <t xml:space="preserve">مزاياي پايان خدمت كاركنان </t>
  </si>
  <si>
    <t>ساير مزاياي مستمر نقدي و غير نقد</t>
  </si>
  <si>
    <t xml:space="preserve">اياب و ذهاب </t>
  </si>
  <si>
    <t xml:space="preserve">پذيرائي و آبدارخانه </t>
  </si>
  <si>
    <t xml:space="preserve">آب ، برق ، گاز </t>
  </si>
  <si>
    <t xml:space="preserve">سوخت </t>
  </si>
  <si>
    <t xml:space="preserve">تعميرات  و نگهداري ماشين آْات </t>
  </si>
  <si>
    <t>سال مالي 1392</t>
  </si>
  <si>
    <t xml:space="preserve">مساحت زمين ( مترمربع) </t>
  </si>
  <si>
    <t xml:space="preserve">مخارج </t>
  </si>
  <si>
    <t>1392/06/31</t>
  </si>
  <si>
    <t xml:space="preserve">برآورد بهاي تمام شده كل پروژه </t>
  </si>
  <si>
    <t xml:space="preserve">پیش بینی </t>
  </si>
  <si>
    <t>1393/06/31</t>
  </si>
  <si>
    <t>پیش بینی سال مالی منتهی به 1393/06/31</t>
  </si>
  <si>
    <t xml:space="preserve">3ماهه اول </t>
  </si>
  <si>
    <t xml:space="preserve">3ماهه دوم </t>
  </si>
  <si>
    <t xml:space="preserve">3ماهه سوم </t>
  </si>
  <si>
    <t xml:space="preserve">3ماهه چهارم </t>
  </si>
  <si>
    <t xml:space="preserve">واقعی </t>
  </si>
  <si>
    <t xml:space="preserve">سالانه حسابرسی شده </t>
  </si>
  <si>
    <t>عملكرد 3 ماهه  منتهي به 1392/09/30</t>
  </si>
  <si>
    <t xml:space="preserve">مواد و مصالح مصرفی </t>
  </si>
  <si>
    <t xml:space="preserve">زمین  و مجوزات </t>
  </si>
  <si>
    <t xml:space="preserve">انشعابات و حق الامتیازات </t>
  </si>
  <si>
    <t xml:space="preserve">مخارج تامین مالی </t>
  </si>
  <si>
    <t xml:space="preserve">اضافه می شود :موجودی کالای در جریان ساخت ابتدای دوره </t>
  </si>
  <si>
    <t xml:space="preserve">اضافه می شود : موجودی کالای ساخته شده ابتدای دوره </t>
  </si>
  <si>
    <t xml:space="preserve">کسر می شود : موجودی کالای ساخته شده پایان دوره </t>
  </si>
  <si>
    <t xml:space="preserve">بهای  تمام شده کالای فروخته شده </t>
  </si>
  <si>
    <t xml:space="preserve">کسرمی شود:موجودی کالای در جریان ساخت پایان دوره </t>
  </si>
  <si>
    <t>سال مالی منتهی به 1392/06/31( حسابرسی شده )</t>
  </si>
  <si>
    <t xml:space="preserve">پییش بینی </t>
  </si>
  <si>
    <t xml:space="preserve">دوره بازپرداخت تسهیلات </t>
  </si>
  <si>
    <t xml:space="preserve">درصد بهره پرداختی </t>
  </si>
  <si>
    <t xml:space="preserve">فرع تسهیلات اخذ شده در قبال کسری نقدینگی </t>
  </si>
  <si>
    <t xml:space="preserve">میزان اصل پرداختی </t>
  </si>
  <si>
    <t xml:space="preserve">میزان سود پرداختی </t>
  </si>
  <si>
    <t>پروژه :</t>
  </si>
  <si>
    <t xml:space="preserve">مبالغ به میلیون ریال </t>
  </si>
  <si>
    <t>سال مالی منتهی به 1393/06/31</t>
  </si>
  <si>
    <t xml:space="preserve">خروجی نقدینگی </t>
  </si>
  <si>
    <t xml:space="preserve">زمین و مجوزات </t>
  </si>
  <si>
    <t xml:space="preserve">هزینه های ساخت </t>
  </si>
  <si>
    <t xml:space="preserve">باز پرداخت تسهیلات اخذ شده بابت  تامین کسری نقدینگی </t>
  </si>
  <si>
    <t xml:space="preserve">سود پرداختی بابت تامین کسری نقدینگی </t>
  </si>
  <si>
    <t xml:space="preserve">درصد پیشرفت فیزیکی </t>
  </si>
  <si>
    <t xml:space="preserve">ورودی نقدینگی </t>
  </si>
  <si>
    <t xml:space="preserve">موجودی اول دوره </t>
  </si>
  <si>
    <t xml:space="preserve">وصولی نقد حاصل از مشتریان پروژه </t>
  </si>
  <si>
    <t xml:space="preserve">تامین منابع مالی </t>
  </si>
  <si>
    <t xml:space="preserve">موجودی مورد انتظاردر پایان دوره  جهت پروژه </t>
  </si>
  <si>
    <t xml:space="preserve">کسری  نقدینگی  </t>
  </si>
  <si>
    <t xml:space="preserve">تامین کسری نقدینگی </t>
  </si>
  <si>
    <t xml:space="preserve">درصد سود پرداختی بابت تامین مالی پروژه </t>
  </si>
  <si>
    <t xml:space="preserve">دوره بازپرداخت تسهیلات اخذ شده </t>
  </si>
  <si>
    <t xml:space="preserve">سود پرداختی </t>
  </si>
  <si>
    <t>شرح</t>
  </si>
  <si>
    <t xml:space="preserve">سود ابرازي ( پيشنهادي ) </t>
  </si>
  <si>
    <t xml:space="preserve">كسر مي شود : </t>
  </si>
  <si>
    <t xml:space="preserve">الف – درآمدهاي معاف : </t>
  </si>
  <si>
    <t xml:space="preserve">1-درآمد حاصل از صادرات(ماده 141 ق م م ) </t>
  </si>
  <si>
    <t xml:space="preserve">2-فعاليت هاي صنعتي “ اولويت خاص ”  (ماده 132 ق م م ) </t>
  </si>
  <si>
    <t xml:space="preserve">3-سود حاصل از سپرده بانكي و اوراق مشاركت ( ماده 145 ق م م ) </t>
  </si>
  <si>
    <t xml:space="preserve">4-درآمد فعاليتهاي كشاورزي ( ماده 81 ق م م ) </t>
  </si>
  <si>
    <t xml:space="preserve">ب – درآمدهائيكه ماليات مقطوع داشته و ماليات در مبدا پرداخت گرديده است :‌  </t>
  </si>
  <si>
    <t xml:space="preserve">1-درآمد حاصل از فروش املاك          ( ماده 59 ق م م ) </t>
  </si>
  <si>
    <t>2-درآمد حاصل از فروش سهام در بورس ( ماده 143 ق م م )‌</t>
  </si>
  <si>
    <t>3-درآمد حاصل از فروش حق تقدم سهام در بورس( ماده 143ق م م)</t>
  </si>
  <si>
    <r>
      <t xml:space="preserve">اضافه </t>
    </r>
    <r>
      <rPr>
        <b/>
        <sz val="10"/>
        <color indexed="10"/>
        <rFont val="B Mitra"/>
        <family val="0"/>
      </rPr>
      <t>(كسر )</t>
    </r>
    <r>
      <rPr>
        <b/>
        <sz val="10"/>
        <rFont val="B Mitra"/>
        <family val="0"/>
      </rPr>
      <t xml:space="preserve"> مي شود : </t>
    </r>
  </si>
  <si>
    <t xml:space="preserve">ساير موارد موثر بردرآمد مشمول ماليات ( ريز موارد ذكر شود ) </t>
  </si>
  <si>
    <t xml:space="preserve">درآمد مشمول ماليات </t>
  </si>
  <si>
    <t xml:space="preserve">محاسبات ماليات </t>
  </si>
  <si>
    <t xml:space="preserve">یک  در هزار سهم اتاق بازرگاني نسبت به مبلغ سود مشمول ماليات </t>
  </si>
  <si>
    <t>ماليات به نرخ 25 درصد سود مشمول ماليات پس از كسر 3 درهزار ( موضوع ماده 105 ق م م )‌</t>
  </si>
  <si>
    <t xml:space="preserve"> معافيت ماليات اندوخته بازسازي يا تكميل واحدهاي موجود صنعتي و معدني و يا ايجاد واحدهاي جديد صنعتي يا معدني بماخذ 50 درصد ماليات متعلق ( ماده 138 ق م م )‌</t>
  </si>
  <si>
    <t xml:space="preserve"> معافيت شركتهاي پذيرفته شده در سازمان بورس اوراق بهادار تهران بماخذ ده درصد ماليات ( موضوع ماده 143 ق م م ) </t>
  </si>
  <si>
    <t xml:space="preserve"> معافيت كليه تاسيسات ايرانگردي و جهانگردي داراي پروانه بماخذ 50 درصد ماليات متعلق ( تبصره 3 ماده 132 ق م م ) </t>
  </si>
  <si>
    <t xml:space="preserve"> ساير موارد ( لطفاً توضيح داده شود ) </t>
  </si>
  <si>
    <t xml:space="preserve">جمع ماليات ابرازي </t>
  </si>
  <si>
    <t xml:space="preserve">مانده ذخیره در ابتدای دوره </t>
  </si>
  <si>
    <t xml:space="preserve">تادیه شده </t>
  </si>
  <si>
    <t xml:space="preserve">پیش پرداختهای مالیاتی قطعی </t>
  </si>
  <si>
    <t xml:space="preserve">پرداخت قطعی طی دوره مالیات عملکرد </t>
  </si>
  <si>
    <t xml:space="preserve">مالیات نقل و انتقالل املاک </t>
  </si>
  <si>
    <t xml:space="preserve">مانده ذخیره </t>
  </si>
  <si>
    <t xml:space="preserve"> سال  مالي  منتهي به 31 شهريور ماه 1393مبتني بر عملكرد3 ماهه منتهي به 1392/09/30</t>
  </si>
  <si>
    <t xml:space="preserve">یادداشتهای توضیحی صورت بودجه جامع </t>
  </si>
  <si>
    <t xml:space="preserve">مخارج زیر بنائی مشترک </t>
  </si>
  <si>
    <t xml:space="preserve">دستمزد اجرا _  صورت وضعیت پیمانکاران </t>
  </si>
  <si>
    <t xml:space="preserve">سربار غیر مستقیم </t>
  </si>
  <si>
    <t xml:space="preserve">مخارج زیربنائی  مشترک </t>
  </si>
  <si>
    <t xml:space="preserve">مخارج زیربنائی مشترک </t>
  </si>
  <si>
    <t xml:space="preserve">دستمزد اجرا _ صورت وضعیت پیمانکاران </t>
  </si>
  <si>
    <t xml:space="preserve">سهم پروژه ها از هزينه هاي اداري و عمومي </t>
  </si>
  <si>
    <t xml:space="preserve">دستمزد  مستقیم  و سایر هزینه های مستقیم </t>
  </si>
  <si>
    <t xml:space="preserve">دستمزد  مستقیم و سایر هزینه های مستقیم </t>
  </si>
  <si>
    <t xml:space="preserve">2-1-2- پیش بینی هزينه هاي سربار پروژه ................................. به شرح زير مي باشد : </t>
  </si>
  <si>
    <t>پيش بيني سال مالي 1393</t>
  </si>
  <si>
    <t xml:space="preserve">یادداشت های توضیحی صورت بودجه جامع </t>
  </si>
  <si>
    <t xml:space="preserve">یادداشت های توضیحی صورت بودجه جامع  </t>
  </si>
  <si>
    <t xml:space="preserve">3ماهه اول واقعی </t>
  </si>
  <si>
    <t>تا پایان سال مالی 1392</t>
  </si>
  <si>
    <t xml:space="preserve">انباشته تا پایان سال مالی 1391 </t>
  </si>
  <si>
    <t>پيش بيني 1393</t>
  </si>
  <si>
    <t>سال مالي 1393</t>
  </si>
  <si>
    <t>سال مالی1393</t>
  </si>
  <si>
    <t>سال مالی 1393</t>
  </si>
  <si>
    <t xml:space="preserve">کسری نقدینگی </t>
  </si>
  <si>
    <t xml:space="preserve">ضمائم  صورت بودجه جامع </t>
  </si>
  <si>
    <t xml:space="preserve">درآمد شناسائی  شده </t>
  </si>
  <si>
    <t xml:space="preserve">درآمد شناسائی  شده  </t>
  </si>
  <si>
    <t xml:space="preserve">مازاد نقدینگی  بودجه </t>
  </si>
  <si>
    <t xml:space="preserve">2-بهای تمام شده کالای فروخته شده و خدمات ارائه شده : </t>
  </si>
  <si>
    <t xml:space="preserve">:2-1مخارج پروژ به شرح زير مي باشد </t>
  </si>
  <si>
    <t>2-1-1</t>
  </si>
  <si>
    <t>2-1-2</t>
  </si>
  <si>
    <t>7-مالیات بر درآمد به شرح زیر می باشد:</t>
  </si>
  <si>
    <t>ضمیمه 2- وضعیت نقدینگی پروژه ها:</t>
  </si>
  <si>
    <t>ضمیمه 3- جدول محاسبه  تامین کسری  نقدینگی  شرکت :</t>
  </si>
  <si>
    <t>پيش بيني تا پايان سال مالی 1393</t>
  </si>
  <si>
    <t>شرکت شهرسازي وخانه سازي باغميشه ( سهامي عام )</t>
  </si>
  <si>
    <t>شرکت شهرسازي وخانه سازي باغميشه ( سهامي عام ).</t>
  </si>
  <si>
    <t>شرکت  شهرسازي وخانه سازي باغميشه ( سهامي عام )</t>
  </si>
  <si>
    <t>عملكرد 3 ماهه  منتهي به 1391/09/30</t>
  </si>
  <si>
    <t xml:space="preserve">بهای تمام شده  كالاي فروش رفته  </t>
  </si>
  <si>
    <t>ساير</t>
  </si>
  <si>
    <t xml:space="preserve">ساير </t>
  </si>
  <si>
    <t>برج گلستان</t>
  </si>
  <si>
    <t>پارس</t>
  </si>
  <si>
    <t>سيمرغ</t>
  </si>
  <si>
    <t>نياوران 97</t>
  </si>
  <si>
    <t>بلور  98</t>
  </si>
  <si>
    <t>قطعه 54 (آراز)</t>
  </si>
  <si>
    <t>148-A</t>
  </si>
  <si>
    <t>148-B</t>
  </si>
  <si>
    <t>151-C</t>
  </si>
  <si>
    <t>151-D</t>
  </si>
  <si>
    <t>تجاري بزرگمهر</t>
  </si>
  <si>
    <t>زمين كوي فردوس</t>
  </si>
  <si>
    <t>شهريار</t>
  </si>
  <si>
    <t>اطلس</t>
  </si>
  <si>
    <t>سپيدار</t>
  </si>
  <si>
    <t>واحدهاي خريداري شده</t>
  </si>
  <si>
    <t>تبريزـ رشديه2</t>
  </si>
  <si>
    <t>خيابان امام</t>
  </si>
  <si>
    <t>ائل گلي - فردوس</t>
  </si>
  <si>
    <t>تبريز - بلوار استاد شهريار</t>
  </si>
  <si>
    <t>تبريز - گلپارك</t>
  </si>
  <si>
    <t>تبريز- گلكار</t>
  </si>
  <si>
    <t>تبريز</t>
  </si>
  <si>
    <t>تجميعي 31</t>
  </si>
  <si>
    <t>تجميعي 30</t>
  </si>
  <si>
    <t>تجميعي 9</t>
  </si>
  <si>
    <t>تجميعي 16</t>
  </si>
  <si>
    <t>تجميعي 10</t>
  </si>
  <si>
    <t>تجميعي 11</t>
  </si>
  <si>
    <t>تجميعي 19</t>
  </si>
  <si>
    <t>تجميعي 26</t>
  </si>
  <si>
    <t>تجميعي 21</t>
  </si>
  <si>
    <t xml:space="preserve">تبريز- رشديه </t>
  </si>
  <si>
    <t>درآمد حاصل ازاجاره سرقفلي</t>
  </si>
  <si>
    <t xml:space="preserve">سود حاصل از سپرده هاي سرمايه گذاري </t>
  </si>
  <si>
    <t>ساير درآمدها</t>
  </si>
  <si>
    <t xml:space="preserve">تجاري </t>
  </si>
  <si>
    <t>مسكوني</t>
  </si>
  <si>
    <t>شرکت شهرسازي وخانه سازي باغميشه</t>
  </si>
  <si>
    <t xml:space="preserve"> تسهیلات اخذ شده در قبال کسری نقدینگی </t>
  </si>
  <si>
    <t xml:space="preserve"> </t>
  </si>
  <si>
    <t xml:space="preserve">   </t>
  </si>
  <si>
    <t xml:space="preserve"> سال  مالي  منتهي به 31 شهريور ماه 1393مبتني بر عملكرد 6 ماهه منتهي به 1392/12/29</t>
  </si>
  <si>
    <t xml:space="preserve"> سال  مالي  منتهي به 31 شهريور ماه 1393مبتني بر عملكرد6 ماهه منتهي به 1392/12/29</t>
  </si>
  <si>
    <t>1-</t>
  </si>
  <si>
    <t xml:space="preserve"> اهم رویه های حسابداری:</t>
  </si>
  <si>
    <t>رويه‌هاي‌ حسابداري‌ در تهيه‌ این اطلاعات‌ با رویه های بکارگرفته شده در تهیه  صورتهاي‌ مالي‌ دوره منتهی به 31شهريور1392 به طور یکنواخت مورد استفاده قرار گرفته است.</t>
  </si>
  <si>
    <t>2-</t>
  </si>
  <si>
    <t xml:space="preserve">خلاصه اهم برنامه ها و مفروضات </t>
  </si>
  <si>
    <t>خلاصه اهم برنامه ها و مفروضات شرکت در سال مالی منتهی به 1393/06/31 که مبنای تهیه این اطلاعات مالی قرار گرفته، به شرح  زیر است:</t>
  </si>
  <si>
    <t>1-2-</t>
  </si>
  <si>
    <t xml:space="preserve">تغييرات نرخ فروش و درآمد حاصل از خدمات </t>
  </si>
  <si>
    <t>2-2-</t>
  </si>
  <si>
    <t>تغییرات هزینه ها</t>
  </si>
  <si>
    <t>میزان تغییر در هزینه ها در پیش بینی سال مالی 1392 نسبت به سال مالی قبل به شرح زیر است:</t>
  </si>
  <si>
    <t>1-2-2-</t>
  </si>
  <si>
    <t>حقوق و دستمزد:</t>
  </si>
  <si>
    <t>تغییر نرخ (درصد)</t>
  </si>
  <si>
    <t>تغییر تعداد کارکنان (درصد)</t>
  </si>
  <si>
    <t>دلایل تغییر</t>
  </si>
  <si>
    <t>2-2-2-</t>
  </si>
  <si>
    <t xml:space="preserve">هزينه هاي كاركنان </t>
  </si>
  <si>
    <t>3-2-2-</t>
  </si>
  <si>
    <t xml:space="preserve">هزينه هاي عمومي اداري و تشكيلاتي </t>
  </si>
  <si>
    <t>3-2-</t>
  </si>
  <si>
    <t xml:space="preserve">تامين منابع مالي </t>
  </si>
  <si>
    <t>4-2-</t>
  </si>
  <si>
    <t>افزایش سرمایه</t>
  </si>
  <si>
    <t xml:space="preserve">شرکت در نظر دارد در سال مالی 1393 به پیشنهاد هیئت مدیره از محل ............... به مبلغ ....................... اقدام به افزایش سرمایه نماید. </t>
  </si>
  <si>
    <t>5-2-</t>
  </si>
  <si>
    <t>سایر برنامه ها و مفروضات با اهمیت</t>
  </si>
  <si>
    <t>شرکت شهر سازي و خانه سازي باغميشه ( سهامي عام )</t>
  </si>
  <si>
    <t xml:space="preserve">سالانه حسابرسي شده </t>
  </si>
  <si>
    <t>6ماهه</t>
  </si>
  <si>
    <t>سالانه حسابرسي شده</t>
  </si>
  <si>
    <t>سال مالی منتهی به 1392/06/31</t>
  </si>
  <si>
    <t>6ماهه واقعي</t>
  </si>
  <si>
    <t xml:space="preserve">نوع كاربري </t>
  </si>
  <si>
    <t>متراژ زيربناي كل پروژه</t>
  </si>
  <si>
    <t xml:space="preserve">مسكوني </t>
  </si>
  <si>
    <t>اداري</t>
  </si>
  <si>
    <t xml:space="preserve">اقامتي </t>
  </si>
  <si>
    <t>زمين ومجوزات</t>
  </si>
  <si>
    <t>عوارض وانشعابات</t>
  </si>
  <si>
    <t>درصد پیشرفت پروژه براساس استاندارد 29 حسابداري</t>
  </si>
  <si>
    <t xml:space="preserve">تا پایان 6 ماهه  سال مالی </t>
  </si>
  <si>
    <t>6ماهه واقعی</t>
  </si>
  <si>
    <t xml:space="preserve">زيان حاصل از برگشت مبايعه نامه ائل گلي </t>
  </si>
  <si>
    <t>تچاري</t>
  </si>
  <si>
    <t>تجاري</t>
  </si>
  <si>
    <t>ساير مخارج اعم از تورم و...</t>
  </si>
  <si>
    <t xml:space="preserve"> متراژ مفید كل  قابل فروش پروژه (مترمربع)</t>
  </si>
  <si>
    <t>اداري ، تجاري</t>
  </si>
  <si>
    <t>اداري ، خدماتي</t>
  </si>
  <si>
    <t>قدرالسهم شركت در پروژه</t>
  </si>
  <si>
    <t>مخارج ساخت</t>
  </si>
  <si>
    <r>
      <rPr>
        <b/>
        <sz val="13"/>
        <color indexed="9"/>
        <rFont val="B Mitra"/>
        <family val="0"/>
      </rPr>
      <t>4</t>
    </r>
    <r>
      <rPr>
        <b/>
        <sz val="13"/>
        <rFont val="B Mitra"/>
        <family val="0"/>
      </rPr>
      <t>- پیش بینی خالص  ساير درآمدها و هزینه های  عملياتي:</t>
    </r>
  </si>
  <si>
    <r>
      <rPr>
        <b/>
        <sz val="14"/>
        <color indexed="9"/>
        <rFont val="B Mitra"/>
        <family val="0"/>
      </rPr>
      <t>6</t>
    </r>
    <r>
      <rPr>
        <b/>
        <sz val="14"/>
        <rFont val="B Mitra"/>
        <family val="0"/>
      </rPr>
      <t>- پیش بینی ساير درآمدهاو هزینه های  غير عملياتي:</t>
    </r>
  </si>
  <si>
    <r>
      <rPr>
        <b/>
        <i/>
        <u val="single"/>
        <sz val="24"/>
        <color indexed="9"/>
        <rFont val="B Mitra"/>
        <family val="0"/>
      </rPr>
      <t>7</t>
    </r>
    <r>
      <rPr>
        <b/>
        <i/>
        <u val="single"/>
        <sz val="24"/>
        <rFont val="B Mitra"/>
        <family val="0"/>
      </rPr>
      <t>- جدول پروژه ها:</t>
    </r>
  </si>
</sst>
</file>

<file path=xl/styles.xml><?xml version="1.0" encoding="utf-8"?>
<styleSheet xmlns="http://schemas.openxmlformats.org/spreadsheetml/2006/main">
  <numFmts count="15">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_(* #,##0_);_(* \(#,##0\);_(* &quot;-&quot;_);_(@_)"/>
    <numFmt numFmtId="165" formatCode="_(* #,##0.00_);_(* \(#,##0.00\);_(* &quot;-&quot;??_);_(@_)"/>
    <numFmt numFmtId="166" formatCode="#,##0;[Red]\(#,##0\);\-"/>
    <numFmt numFmtId="167" formatCode="#,##0_-;[Red]\(#,##0\)"/>
    <numFmt numFmtId="168" formatCode="_(* #,##0_);_(* \(#,##0\);_(* &quot;-&quot;??_);_(@_)"/>
    <numFmt numFmtId="169" formatCode="#,##0_-;\(#,##0\)"/>
    <numFmt numFmtId="170" formatCode="0.0"/>
  </numFmts>
  <fonts count="170">
    <font>
      <sz val="10"/>
      <name val="Arial"/>
      <family val="0"/>
    </font>
    <font>
      <sz val="11"/>
      <color indexed="8"/>
      <name val="Arial"/>
      <family val="2"/>
    </font>
    <font>
      <sz val="10"/>
      <name val="B Mitra"/>
      <family val="0"/>
    </font>
    <font>
      <b/>
      <sz val="10"/>
      <name val="B Mitra"/>
      <family val="0"/>
    </font>
    <font>
      <b/>
      <sz val="12"/>
      <name val="B Mitra"/>
      <family val="0"/>
    </font>
    <font>
      <b/>
      <sz val="14"/>
      <name val="B Mitra"/>
      <family val="0"/>
    </font>
    <font>
      <sz val="14"/>
      <name val="B Mitra"/>
      <family val="0"/>
    </font>
    <font>
      <b/>
      <sz val="11"/>
      <name val="B Mitra"/>
      <family val="0"/>
    </font>
    <font>
      <b/>
      <sz val="16"/>
      <name val="B Mitra"/>
      <family val="0"/>
    </font>
    <font>
      <b/>
      <sz val="14"/>
      <name val="B Nazanin"/>
      <family val="0"/>
    </font>
    <font>
      <b/>
      <sz val="18"/>
      <name val="B Nazanin"/>
      <family val="0"/>
    </font>
    <font>
      <b/>
      <u val="single"/>
      <sz val="14"/>
      <name val="B Mitra"/>
      <family val="0"/>
    </font>
    <font>
      <b/>
      <sz val="12"/>
      <name val="Arial"/>
      <family val="2"/>
    </font>
    <font>
      <b/>
      <u val="single"/>
      <sz val="16"/>
      <name val="B Mitra"/>
      <family val="0"/>
    </font>
    <font>
      <b/>
      <sz val="8"/>
      <name val="B Mitra"/>
      <family val="0"/>
    </font>
    <font>
      <sz val="12"/>
      <name val="B Mitra"/>
      <family val="0"/>
    </font>
    <font>
      <b/>
      <u val="single"/>
      <sz val="10"/>
      <name val="B Mitra"/>
      <family val="0"/>
    </font>
    <font>
      <sz val="16"/>
      <name val="B Mitra"/>
      <family val="0"/>
    </font>
    <font>
      <sz val="18"/>
      <name val="B Mitra"/>
      <family val="0"/>
    </font>
    <font>
      <b/>
      <sz val="10"/>
      <color indexed="10"/>
      <name val="B Mitra"/>
      <family val="0"/>
    </font>
    <font>
      <b/>
      <sz val="16"/>
      <name val="B Nazanin"/>
      <family val="0"/>
    </font>
    <font>
      <sz val="12"/>
      <name val="Arial"/>
      <family val="2"/>
    </font>
    <font>
      <b/>
      <sz val="12"/>
      <name val="B Nazanin"/>
      <family val="0"/>
    </font>
    <font>
      <b/>
      <sz val="18"/>
      <name val="B Mitra"/>
      <family val="0"/>
    </font>
    <font>
      <sz val="20"/>
      <name val="B Mitra"/>
      <family val="0"/>
    </font>
    <font>
      <sz val="11"/>
      <name val="B Mitra"/>
      <family val="0"/>
    </font>
    <font>
      <sz val="20"/>
      <name val="Arial"/>
      <family val="2"/>
    </font>
    <font>
      <b/>
      <i/>
      <u val="single"/>
      <sz val="16"/>
      <name val="B Mitra"/>
      <family val="0"/>
    </font>
    <font>
      <b/>
      <i/>
      <u val="single"/>
      <sz val="18"/>
      <name val="B Mitra"/>
      <family val="0"/>
    </font>
    <font>
      <b/>
      <i/>
      <u val="single"/>
      <sz val="20"/>
      <name val="B Mitra"/>
      <family val="0"/>
    </font>
    <font>
      <b/>
      <i/>
      <u val="single"/>
      <sz val="12"/>
      <name val="B Mitra"/>
      <family val="0"/>
    </font>
    <font>
      <b/>
      <i/>
      <sz val="16"/>
      <name val="B Mitra"/>
      <family val="0"/>
    </font>
    <font>
      <b/>
      <i/>
      <u val="single"/>
      <sz val="24"/>
      <name val="B Mitra"/>
      <family val="0"/>
    </font>
    <font>
      <b/>
      <sz val="8"/>
      <name val="Tahoma"/>
      <family val="2"/>
    </font>
    <font>
      <b/>
      <u val="single"/>
      <sz val="11"/>
      <name val="B Mitra"/>
      <family val="0"/>
    </font>
    <font>
      <u val="single"/>
      <sz val="12"/>
      <name val="Arial"/>
      <family val="2"/>
    </font>
    <font>
      <sz val="8"/>
      <name val="Tahoma"/>
      <family val="2"/>
    </font>
    <font>
      <b/>
      <sz val="13"/>
      <name val="B Mitra"/>
      <family val="0"/>
    </font>
    <font>
      <sz val="12"/>
      <name val="B Nazanin"/>
      <family val="0"/>
    </font>
    <font>
      <b/>
      <u val="single"/>
      <sz val="18"/>
      <name val="B Nazanin"/>
      <family val="0"/>
    </font>
    <font>
      <sz val="10"/>
      <name val="B Nazanin"/>
      <family val="0"/>
    </font>
    <font>
      <b/>
      <i/>
      <u val="single"/>
      <sz val="26"/>
      <name val="B Mitra"/>
      <family val="0"/>
    </font>
    <font>
      <sz val="18"/>
      <name val="B Nazanin"/>
      <family val="0"/>
    </font>
    <font>
      <sz val="14"/>
      <name val="B Nazanin"/>
      <family val="0"/>
    </font>
    <font>
      <sz val="16"/>
      <name val="B Nazanin"/>
      <family val="0"/>
    </font>
    <font>
      <b/>
      <i/>
      <sz val="14"/>
      <name val="B Nazanin"/>
      <family val="0"/>
    </font>
    <font>
      <sz val="13"/>
      <name val="B Mitra"/>
      <family val="0"/>
    </font>
    <font>
      <b/>
      <sz val="13"/>
      <color indexed="9"/>
      <name val="B Mitra"/>
      <family val="0"/>
    </font>
    <font>
      <b/>
      <sz val="14"/>
      <color indexed="9"/>
      <name val="B Mitra"/>
      <family val="0"/>
    </font>
    <font>
      <b/>
      <i/>
      <u val="single"/>
      <sz val="24"/>
      <color indexed="9"/>
      <name val="B Mitra"/>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B Mitra"/>
      <family val="0"/>
    </font>
    <font>
      <sz val="10"/>
      <color indexed="9"/>
      <name val="B Mitra"/>
      <family val="0"/>
    </font>
    <font>
      <sz val="14"/>
      <color indexed="9"/>
      <name val="B Mitra"/>
      <family val="0"/>
    </font>
    <font>
      <sz val="12"/>
      <color indexed="8"/>
      <name val="B Mitra"/>
      <family val="0"/>
    </font>
    <font>
      <b/>
      <sz val="10"/>
      <color indexed="9"/>
      <name val="B Mitra"/>
      <family val="0"/>
    </font>
    <font>
      <b/>
      <i/>
      <sz val="10"/>
      <color indexed="8"/>
      <name val="B Mitra"/>
      <family val="0"/>
    </font>
    <font>
      <b/>
      <i/>
      <sz val="8"/>
      <color indexed="8"/>
      <name val="B Mitra"/>
      <family val="0"/>
    </font>
    <font>
      <b/>
      <sz val="8"/>
      <color indexed="8"/>
      <name val="B Mitra"/>
      <family val="0"/>
    </font>
    <font>
      <b/>
      <i/>
      <u val="single"/>
      <sz val="8"/>
      <color indexed="10"/>
      <name val="B Mitra"/>
      <family val="0"/>
    </font>
    <font>
      <b/>
      <u val="single"/>
      <sz val="14"/>
      <color indexed="30"/>
      <name val="B Mitra"/>
      <family val="0"/>
    </font>
    <font>
      <b/>
      <sz val="14"/>
      <color indexed="8"/>
      <name val="B Mitra"/>
      <family val="0"/>
    </font>
    <font>
      <b/>
      <sz val="12"/>
      <color indexed="8"/>
      <name val="B Mitra"/>
      <family val="0"/>
    </font>
    <font>
      <b/>
      <sz val="18"/>
      <color indexed="8"/>
      <name val="B Mitra"/>
      <family val="0"/>
    </font>
    <font>
      <b/>
      <sz val="10"/>
      <color indexed="8"/>
      <name val="B Mitra"/>
      <family val="0"/>
    </font>
    <font>
      <sz val="10"/>
      <color indexed="8"/>
      <name val="B Mitra"/>
      <family val="0"/>
    </font>
    <font>
      <b/>
      <sz val="11"/>
      <color indexed="8"/>
      <name val="B Mitra"/>
      <family val="0"/>
    </font>
    <font>
      <b/>
      <u val="single"/>
      <sz val="10"/>
      <color indexed="30"/>
      <name val="B Mitra"/>
      <family val="0"/>
    </font>
    <font>
      <b/>
      <sz val="16"/>
      <color indexed="8"/>
      <name val="B Mitra"/>
      <family val="0"/>
    </font>
    <font>
      <b/>
      <sz val="12"/>
      <color indexed="9"/>
      <name val="B Mitra"/>
      <family val="0"/>
    </font>
    <font>
      <sz val="12"/>
      <color indexed="9"/>
      <name val="B Mitra"/>
      <family val="0"/>
    </font>
    <font>
      <b/>
      <i/>
      <u val="single"/>
      <sz val="14"/>
      <color indexed="30"/>
      <name val="B Mitra"/>
      <family val="0"/>
    </font>
    <font>
      <i/>
      <sz val="11"/>
      <color indexed="8"/>
      <name val="B Mitra"/>
      <family val="0"/>
    </font>
    <font>
      <b/>
      <sz val="8"/>
      <color indexed="10"/>
      <name val="B Mitra"/>
      <family val="0"/>
    </font>
    <font>
      <sz val="13"/>
      <color indexed="8"/>
      <name val="B Mitra"/>
      <family val="0"/>
    </font>
    <font>
      <b/>
      <sz val="12"/>
      <color indexed="63"/>
      <name val="B Mitra"/>
      <family val="0"/>
    </font>
    <font>
      <b/>
      <sz val="13"/>
      <color indexed="63"/>
      <name val="B Mitra"/>
      <family val="0"/>
    </font>
    <font>
      <b/>
      <sz val="13"/>
      <color indexed="8"/>
      <name val="B Mitra"/>
      <family val="0"/>
    </font>
    <font>
      <b/>
      <sz val="13"/>
      <color indexed="16"/>
      <name val="B Mitra"/>
      <family val="0"/>
    </font>
    <font>
      <b/>
      <sz val="8"/>
      <color indexed="63"/>
      <name val="B Mitra"/>
      <family val="0"/>
    </font>
    <font>
      <b/>
      <u val="single"/>
      <sz val="14"/>
      <color indexed="30"/>
      <name val="B Nazanin"/>
      <family val="0"/>
    </font>
    <font>
      <b/>
      <sz val="16"/>
      <color indexed="30"/>
      <name val="B Nazanin"/>
      <family val="0"/>
    </font>
    <font>
      <b/>
      <sz val="18"/>
      <color indexed="30"/>
      <name val="B Nazanin"/>
      <family val="0"/>
    </font>
    <font>
      <b/>
      <sz val="11"/>
      <color indexed="16"/>
      <name val="B Mitra"/>
      <family val="0"/>
    </font>
    <font>
      <b/>
      <sz val="11"/>
      <color indexed="63"/>
      <name val="B Mitra"/>
      <family val="0"/>
    </font>
    <font>
      <b/>
      <sz val="12"/>
      <color indexed="16"/>
      <name val="B Mitra"/>
      <family val="0"/>
    </font>
    <font>
      <b/>
      <sz val="18"/>
      <color indexed="62"/>
      <name val="B Nazanin"/>
      <family val="0"/>
    </font>
    <font>
      <sz val="18"/>
      <color indexed="9"/>
      <name val="B Nazanin"/>
      <family val="0"/>
    </font>
    <font>
      <b/>
      <u val="single"/>
      <sz val="14"/>
      <color indexed="8"/>
      <name val="B Mitra"/>
      <family val="0"/>
    </font>
    <font>
      <b/>
      <i/>
      <sz val="10"/>
      <color indexed="10"/>
      <name val="B Mitra"/>
      <family val="0"/>
    </font>
    <font>
      <b/>
      <u val="single"/>
      <sz val="16"/>
      <color indexed="8"/>
      <name val="B Mitra"/>
      <family val="0"/>
    </font>
    <font>
      <u val="single"/>
      <sz val="16"/>
      <color indexed="8"/>
      <name val="B Mitra"/>
      <family val="0"/>
    </font>
    <font>
      <b/>
      <i/>
      <sz val="16"/>
      <color indexed="8"/>
      <name val="B Mitr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 Mitra"/>
      <family val="0"/>
    </font>
    <font>
      <sz val="10"/>
      <color theme="0"/>
      <name val="B Mitra"/>
      <family val="0"/>
    </font>
    <font>
      <sz val="14"/>
      <color theme="0"/>
      <name val="B Mitra"/>
      <family val="0"/>
    </font>
    <font>
      <sz val="12"/>
      <color theme="1"/>
      <name val="B Mitra"/>
      <family val="0"/>
    </font>
    <font>
      <b/>
      <sz val="10"/>
      <color theme="0"/>
      <name val="B Mitra"/>
      <family val="0"/>
    </font>
    <font>
      <b/>
      <i/>
      <sz val="10"/>
      <color theme="1"/>
      <name val="B Mitra"/>
      <family val="0"/>
    </font>
    <font>
      <b/>
      <i/>
      <sz val="8"/>
      <color theme="1"/>
      <name val="B Mitra"/>
      <family val="0"/>
    </font>
    <font>
      <b/>
      <sz val="8"/>
      <color theme="1"/>
      <name val="B Mitra"/>
      <family val="0"/>
    </font>
    <font>
      <b/>
      <i/>
      <u val="single"/>
      <sz val="8"/>
      <color rgb="FFFF0000"/>
      <name val="B Mitra"/>
      <family val="0"/>
    </font>
    <font>
      <b/>
      <u val="single"/>
      <sz val="14"/>
      <color rgb="FF0070C0"/>
      <name val="B Mitra"/>
      <family val="0"/>
    </font>
    <font>
      <b/>
      <sz val="14"/>
      <color theme="1"/>
      <name val="B Mitra"/>
      <family val="0"/>
    </font>
    <font>
      <b/>
      <sz val="12"/>
      <color theme="1"/>
      <name val="B Mitra"/>
      <family val="0"/>
    </font>
    <font>
      <b/>
      <sz val="18"/>
      <color theme="1"/>
      <name val="B Mitra"/>
      <family val="0"/>
    </font>
    <font>
      <b/>
      <sz val="10"/>
      <color theme="1"/>
      <name val="B Mitra"/>
      <family val="0"/>
    </font>
    <font>
      <sz val="10"/>
      <color theme="1"/>
      <name val="B Mitra"/>
      <family val="0"/>
    </font>
    <font>
      <b/>
      <sz val="11"/>
      <color theme="1"/>
      <name val="B Mitra"/>
      <family val="0"/>
    </font>
    <font>
      <b/>
      <u val="single"/>
      <sz val="10"/>
      <color rgb="FF0070C0"/>
      <name val="B Mitra"/>
      <family val="0"/>
    </font>
    <font>
      <b/>
      <sz val="16"/>
      <color theme="1"/>
      <name val="B Mitra"/>
      <family val="0"/>
    </font>
    <font>
      <b/>
      <sz val="12"/>
      <color theme="0"/>
      <name val="B Mitra"/>
      <family val="0"/>
    </font>
    <font>
      <sz val="12"/>
      <color theme="0"/>
      <name val="B Mitra"/>
      <family val="0"/>
    </font>
    <font>
      <b/>
      <i/>
      <u val="single"/>
      <sz val="14"/>
      <color rgb="FF0070C0"/>
      <name val="B Mitra"/>
      <family val="0"/>
    </font>
    <font>
      <i/>
      <sz val="11"/>
      <color theme="1"/>
      <name val="B Mitra"/>
      <family val="0"/>
    </font>
    <font>
      <b/>
      <sz val="8"/>
      <color rgb="FFFF0000"/>
      <name val="B Mitra"/>
      <family val="0"/>
    </font>
    <font>
      <sz val="13"/>
      <color theme="1"/>
      <name val="B Mitra"/>
      <family val="0"/>
    </font>
    <font>
      <b/>
      <sz val="12"/>
      <color rgb="FF333333"/>
      <name val="B Mitra"/>
      <family val="0"/>
    </font>
    <font>
      <b/>
      <sz val="13"/>
      <color rgb="FF333333"/>
      <name val="B Mitra"/>
      <family val="0"/>
    </font>
    <font>
      <b/>
      <sz val="13"/>
      <color theme="1"/>
      <name val="B Mitra"/>
      <family val="0"/>
    </font>
    <font>
      <b/>
      <sz val="13"/>
      <color rgb="FF800000"/>
      <name val="B Mitra"/>
      <family val="0"/>
    </font>
    <font>
      <b/>
      <sz val="8"/>
      <color rgb="FF333333"/>
      <name val="B Mitra"/>
      <family val="0"/>
    </font>
    <font>
      <b/>
      <u val="single"/>
      <sz val="14"/>
      <color rgb="FF0070C0"/>
      <name val="B Nazanin"/>
      <family val="0"/>
    </font>
    <font>
      <b/>
      <sz val="16"/>
      <color rgb="FF0070C0"/>
      <name val="B Nazanin"/>
      <family val="0"/>
    </font>
    <font>
      <b/>
      <sz val="18"/>
      <color rgb="FF0070C0"/>
      <name val="B Nazanin"/>
      <family val="0"/>
    </font>
    <font>
      <b/>
      <sz val="11"/>
      <color rgb="FF800000"/>
      <name val="B Mitra"/>
      <family val="0"/>
    </font>
    <font>
      <b/>
      <sz val="11"/>
      <color rgb="FF333333"/>
      <name val="B Mitra"/>
      <family val="0"/>
    </font>
    <font>
      <b/>
      <sz val="12"/>
      <color rgb="FF800000"/>
      <name val="B Mitra"/>
      <family val="0"/>
    </font>
    <font>
      <b/>
      <sz val="18"/>
      <color theme="4"/>
      <name val="B Nazanin"/>
      <family val="0"/>
    </font>
    <font>
      <sz val="18"/>
      <color theme="0"/>
      <name val="B Nazanin"/>
      <family val="0"/>
    </font>
    <font>
      <b/>
      <u val="single"/>
      <sz val="14"/>
      <color theme="1"/>
      <name val="B Mitra"/>
      <family val="0"/>
    </font>
    <font>
      <b/>
      <i/>
      <sz val="10"/>
      <color rgb="FFFF0000"/>
      <name val="B Mitra"/>
      <family val="0"/>
    </font>
    <font>
      <u val="single"/>
      <sz val="16"/>
      <color theme="1"/>
      <name val="B Mitra"/>
      <family val="0"/>
    </font>
    <font>
      <b/>
      <u val="single"/>
      <sz val="16"/>
      <color theme="1"/>
      <name val="B Mitra"/>
      <family val="0"/>
    </font>
    <font>
      <b/>
      <i/>
      <sz val="16"/>
      <color theme="1"/>
      <name val="B Mitra"/>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9E7A7"/>
        <bgColor indexed="64"/>
      </patternFill>
    </fill>
    <fill>
      <patternFill patternType="solid">
        <fgColor rgb="FFAFBAD8"/>
        <bgColor indexed="64"/>
      </patternFill>
    </fill>
  </fills>
  <borders count="1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style="thin"/>
      <bottom style="thin"/>
    </border>
    <border>
      <left style="hair"/>
      <right style="hair"/>
      <top/>
      <bottom/>
    </border>
    <border>
      <left style="thin"/>
      <right/>
      <top style="thin"/>
      <bottom/>
    </border>
    <border>
      <left style="thin"/>
      <right/>
      <top style="hair"/>
      <bottom/>
    </border>
    <border>
      <left style="thin"/>
      <right/>
      <top style="hair"/>
      <bottom style="thin"/>
    </border>
    <border>
      <left style="thin"/>
      <right/>
      <top style="hair"/>
      <bottom style="hair"/>
    </border>
    <border>
      <left style="thin"/>
      <right style="hair"/>
      <top style="hair"/>
      <bottom style="hair"/>
    </border>
    <border>
      <left style="hair"/>
      <right style="thin"/>
      <top style="hair"/>
      <bottom style="hair"/>
    </border>
    <border>
      <left/>
      <right/>
      <top style="thin"/>
      <bottom/>
    </border>
    <border>
      <left/>
      <right/>
      <top style="thin"/>
      <bottom style="thin"/>
    </border>
    <border>
      <left/>
      <right/>
      <top style="thin"/>
      <bottom style="double"/>
    </border>
    <border>
      <left/>
      <right/>
      <top/>
      <bottom style="thin"/>
    </border>
    <border>
      <left style="thin"/>
      <right style="thin"/>
      <top style="thin"/>
      <bottom style="thin"/>
    </border>
    <border>
      <left style="hair"/>
      <right style="medium"/>
      <top style="hair"/>
      <bottom style="hair"/>
    </border>
    <border>
      <left style="thin"/>
      <right style="thin"/>
      <top/>
      <bottom/>
    </border>
    <border>
      <left style="thin"/>
      <right style="thin"/>
      <top style="thin"/>
      <bottom style="hair"/>
    </border>
    <border>
      <left style="hair"/>
      <right style="thin"/>
      <top style="thin"/>
      <bottom style="hair"/>
    </border>
    <border>
      <left style="hair"/>
      <right style="medium"/>
      <top style="thin"/>
      <bottom style="hair"/>
    </border>
    <border>
      <left style="thin"/>
      <right style="thin"/>
      <top style="hair"/>
      <bottom style="hair"/>
    </border>
    <border>
      <left style="thin"/>
      <right style="thin"/>
      <top style="hair"/>
      <bottom/>
    </border>
    <border>
      <left style="hair"/>
      <right style="thin"/>
      <top style="hair"/>
      <bottom/>
    </border>
    <border>
      <left style="hair"/>
      <right style="medium"/>
      <top style="hair"/>
      <bottom/>
    </border>
    <border>
      <left style="thin"/>
      <right/>
      <top/>
      <bottom style="hair"/>
    </border>
    <border>
      <left style="hair"/>
      <right style="thin"/>
      <top/>
      <bottom style="hair"/>
    </border>
    <border>
      <left style="hair"/>
      <right style="medium"/>
      <top/>
      <bottom style="hair"/>
    </border>
    <border>
      <left/>
      <right/>
      <top style="hair"/>
      <bottom/>
    </border>
    <border>
      <left style="hair"/>
      <right style="thin"/>
      <top style="thin"/>
      <bottom style="thin"/>
    </border>
    <border>
      <left style="hair"/>
      <right style="medium"/>
      <top style="thin"/>
      <bottom style="thin"/>
    </border>
    <border>
      <left/>
      <right style="thin"/>
      <top style="hair"/>
      <bottom style="hair"/>
    </border>
    <border>
      <left style="thin"/>
      <right style="hair"/>
      <top style="hair"/>
      <bottom style="thin"/>
    </border>
    <border>
      <left style="thin"/>
      <right style="hair"/>
      <top style="thin"/>
      <bottom style="hair"/>
    </border>
    <border>
      <left style="thin"/>
      <right/>
      <top style="thin"/>
      <bottom style="thin"/>
    </border>
    <border>
      <left style="thin"/>
      <right style="hair"/>
      <top style="hair"/>
      <bottom/>
    </border>
    <border>
      <left style="thin"/>
      <right/>
      <top style="hair"/>
      <bottom style="medium"/>
    </border>
    <border>
      <left style="thin"/>
      <right style="hair"/>
      <top style="hair"/>
      <bottom style="medium"/>
    </border>
    <border>
      <left style="hair"/>
      <right style="thin"/>
      <top style="hair"/>
      <bottom style="medium"/>
    </border>
    <border>
      <left style="hair"/>
      <right style="medium"/>
      <top style="hair"/>
      <bottom style="medium"/>
    </border>
    <border>
      <left style="thin"/>
      <right/>
      <top style="thin"/>
      <bottom style="hair"/>
    </border>
    <border>
      <left style="medium"/>
      <right style="hair"/>
      <top style="hair"/>
      <bottom/>
    </border>
    <border>
      <left style="medium"/>
      <right style="hair"/>
      <top style="thin"/>
      <bottom style="hair"/>
    </border>
    <border>
      <left style="medium"/>
      <right style="hair"/>
      <top style="hair"/>
      <bottom style="hair"/>
    </border>
    <border>
      <left style="medium"/>
      <right style="hair"/>
      <top style="hair"/>
      <bottom style="thin"/>
    </border>
    <border>
      <left style="hair"/>
      <right style="medium"/>
      <top style="hair"/>
      <bottom style="thin"/>
    </border>
    <border>
      <left style="medium"/>
      <right style="hair"/>
      <top style="thin"/>
      <bottom style="thin"/>
    </border>
    <border>
      <left style="medium"/>
      <right style="hair"/>
      <top/>
      <bottom/>
    </border>
    <border>
      <left style="hair"/>
      <right style="medium"/>
      <top/>
      <bottom/>
    </border>
    <border>
      <left style="medium"/>
      <right style="hair"/>
      <top style="hair"/>
      <bottom style="medium"/>
    </border>
    <border>
      <left style="hair"/>
      <right style="hair"/>
      <top style="hair"/>
      <bottom style="medium"/>
    </border>
    <border>
      <left/>
      <right style="thin"/>
      <top/>
      <bottom/>
    </border>
    <border>
      <left/>
      <right style="thin"/>
      <top/>
      <bottom style="thin"/>
    </border>
    <border>
      <left style="thin"/>
      <right style="hair"/>
      <top/>
      <bottom style="hair"/>
    </border>
    <border>
      <left/>
      <right style="hair"/>
      <top/>
      <bottom style="hair"/>
    </border>
    <border>
      <left style="hair"/>
      <right style="hair"/>
      <top/>
      <bottom style="hair"/>
    </border>
    <border>
      <left/>
      <right style="hair"/>
      <top style="hair"/>
      <bottom style="hair"/>
    </border>
    <border>
      <left/>
      <right style="hair"/>
      <top style="hair"/>
      <bottom/>
    </border>
    <border>
      <left style="medium"/>
      <right style="hair"/>
      <top/>
      <bottom style="hair"/>
    </border>
    <border>
      <left style="thin"/>
      <right style="hair"/>
      <top style="thin"/>
      <bottom style="thick"/>
    </border>
    <border>
      <left style="hair"/>
      <right style="thin"/>
      <top style="thin"/>
      <bottom style="thick"/>
    </border>
    <border>
      <left style="thin"/>
      <right style="thin"/>
      <top style="thin"/>
      <bottom style="thick"/>
    </border>
    <border>
      <left style="hair"/>
      <right style="thick"/>
      <top style="thin"/>
      <bottom style="thick"/>
    </border>
    <border>
      <left style="hair"/>
      <right style="hair"/>
      <top style="thin"/>
      <bottom style="thick"/>
    </border>
    <border>
      <left style="thin"/>
      <right/>
      <top style="thin"/>
      <bottom style="thick"/>
    </border>
    <border>
      <left/>
      <right style="thin"/>
      <top style="thin"/>
      <bottom style="thick"/>
    </border>
    <border>
      <left/>
      <right style="thin"/>
      <top style="thin"/>
      <bottom/>
    </border>
    <border>
      <left/>
      <right style="thin"/>
      <top style="thin"/>
      <bottom style="thin"/>
    </border>
    <border>
      <left style="thin"/>
      <right style="thin"/>
      <top/>
      <bottom style="thin"/>
    </border>
    <border>
      <left/>
      <right style="thick"/>
      <top/>
      <bottom/>
    </border>
    <border>
      <left style="thin"/>
      <right style="thin"/>
      <top style="thick"/>
      <bottom style="thick"/>
    </border>
    <border>
      <left style="thin"/>
      <right style="hair"/>
      <top style="thin"/>
      <bottom style="thin"/>
    </border>
    <border>
      <left style="hair"/>
      <right style="thick"/>
      <top style="thin"/>
      <bottom style="thin"/>
    </border>
    <border>
      <left style="thin"/>
      <right style="hair"/>
      <top/>
      <bottom style="thin"/>
    </border>
    <border>
      <left style="hair"/>
      <right style="thin"/>
      <top/>
      <bottom style="thin"/>
    </border>
    <border>
      <left style="hair"/>
      <right style="thick"/>
      <top/>
      <bottom style="thin"/>
    </border>
    <border>
      <left style="thin"/>
      <right/>
      <top style="thick"/>
      <bottom style="thick"/>
    </border>
    <border>
      <left/>
      <right/>
      <top style="thick"/>
      <bottom style="thick"/>
    </border>
    <border>
      <left/>
      <right style="thick"/>
      <top style="thick"/>
      <bottom style="thick"/>
    </border>
    <border>
      <left style="thin"/>
      <right/>
      <top/>
      <bottom style="thin"/>
    </border>
    <border>
      <left/>
      <right style="hair"/>
      <top/>
      <bottom style="thin"/>
    </border>
    <border>
      <left/>
      <right style="hair"/>
      <top style="thin"/>
      <bottom style="thin"/>
    </border>
    <border>
      <left style="thin"/>
      <right style="thick"/>
      <top style="thick"/>
      <bottom style="thick"/>
    </border>
    <border>
      <left/>
      <right/>
      <top style="thick"/>
      <bottom style="thin"/>
    </border>
    <border>
      <left style="medium"/>
      <right/>
      <top style="hair"/>
      <bottom/>
    </border>
    <border>
      <left style="medium"/>
      <right/>
      <top/>
      <bottom/>
    </border>
    <border>
      <left style="medium"/>
      <right/>
      <top/>
      <bottom style="hair"/>
    </border>
    <border>
      <left style="medium"/>
      <right/>
      <top style="hair"/>
      <bottom style="medium"/>
    </border>
    <border>
      <left/>
      <right/>
      <top style="hair"/>
      <bottom style="medium"/>
    </border>
    <border>
      <left style="hair"/>
      <right/>
      <top style="hair"/>
      <bottom style="hair"/>
    </border>
    <border>
      <left style="medium"/>
      <right/>
      <top style="hair"/>
      <bottom style="hair"/>
    </border>
    <border>
      <left style="thin"/>
      <right style="medium"/>
      <top style="thin"/>
      <bottom/>
    </border>
    <border>
      <left style="thin"/>
      <right style="medium"/>
      <top/>
      <bottom style="thin"/>
    </border>
    <border>
      <left style="medium"/>
      <right/>
      <top style="medium"/>
      <bottom/>
    </border>
    <border>
      <left/>
      <right style="thin"/>
      <top style="medium"/>
      <bottom/>
    </border>
    <border>
      <left style="medium"/>
      <right/>
      <top/>
      <bottom style="thin"/>
    </border>
    <border>
      <left style="thin"/>
      <right style="thin"/>
      <top style="thin"/>
      <bottom/>
    </border>
    <border>
      <left/>
      <right/>
      <top style="hair"/>
      <bottom style="hair"/>
    </border>
    <border>
      <left/>
      <right style="medium"/>
      <top style="hair"/>
      <bottom style="hair"/>
    </border>
    <border>
      <left/>
      <right style="thin"/>
      <top style="hair"/>
      <bottom/>
    </border>
    <border>
      <left/>
      <right/>
      <top/>
      <bottom style="hair"/>
    </border>
    <border>
      <left style="medium"/>
      <right/>
      <top style="thin"/>
      <bottom style="thin"/>
    </border>
    <border>
      <left/>
      <right style="medium"/>
      <top style="thin"/>
      <bottom style="thin"/>
    </border>
    <border>
      <left/>
      <right style="thin"/>
      <top/>
      <bottom style="hair"/>
    </border>
    <border>
      <left style="medium"/>
      <right/>
      <top style="thin"/>
      <bottom style="hair"/>
    </border>
    <border>
      <left/>
      <right/>
      <top style="thin"/>
      <bottom style="hair"/>
    </border>
    <border>
      <left/>
      <right style="medium"/>
      <top style="thin"/>
      <bottom style="hair"/>
    </border>
    <border>
      <left style="thin"/>
      <right style="thin"/>
      <top style="medium"/>
      <bottom/>
    </border>
    <border>
      <left style="thin"/>
      <right/>
      <top style="medium"/>
      <bottom/>
    </border>
    <border>
      <left/>
      <right/>
      <top style="medium"/>
      <bottom/>
    </border>
    <border>
      <left/>
      <right style="medium"/>
      <top style="medium"/>
      <bottom/>
    </border>
    <border>
      <left/>
      <right style="thin"/>
      <top style="thin"/>
      <bottom style="hair"/>
    </border>
    <border>
      <left style="thin"/>
      <right style="thin"/>
      <top style="thick"/>
      <bottom/>
    </border>
    <border>
      <left style="thin"/>
      <right style="thin"/>
      <top/>
      <bottom style="thick"/>
    </border>
    <border>
      <left style="thin"/>
      <right/>
      <top style="thick"/>
      <bottom style="thin"/>
    </border>
    <border>
      <left/>
      <right style="thin"/>
      <top style="thick"/>
      <bottom style="thin"/>
    </border>
    <border>
      <left style="thick"/>
      <right/>
      <top style="thick"/>
      <bottom style="thick"/>
    </border>
    <border>
      <left/>
      <right style="thin"/>
      <top style="thick"/>
      <bottom style="thick"/>
    </border>
    <border>
      <left style="thin"/>
      <right style="thin"/>
      <top style="thick"/>
      <bottom style="thin"/>
    </border>
    <border>
      <left style="thick"/>
      <right style="thin"/>
      <top style="thick"/>
      <bottom style="thin"/>
    </border>
    <border>
      <left style="thick"/>
      <right style="thin"/>
      <top style="thin"/>
      <bottom style="thick"/>
    </border>
    <border>
      <left style="thin"/>
      <right/>
      <top style="thick"/>
      <bottom/>
    </border>
    <border>
      <left/>
      <right/>
      <top style="thick"/>
      <bottom/>
    </border>
    <border>
      <left/>
      <right style="thick"/>
      <top style="thick"/>
      <bottom/>
    </border>
    <border>
      <left style="thin"/>
      <right/>
      <top/>
      <bottom style="thick"/>
    </border>
    <border>
      <left/>
      <right/>
      <top/>
      <bottom style="thick"/>
    </border>
    <border>
      <left/>
      <right style="thick"/>
      <top/>
      <bottom style="thick"/>
    </border>
    <border>
      <left/>
      <right style="thin"/>
      <top style="thick"/>
      <bottom/>
    </border>
    <border>
      <left/>
      <right style="thin"/>
      <top/>
      <bottom style="thick"/>
    </border>
    <border>
      <left/>
      <right/>
      <top style="thin"/>
      <bottom style="thick"/>
    </border>
    <border>
      <left/>
      <right style="thick"/>
      <top style="thick"/>
      <bottom style="thin"/>
    </border>
    <border>
      <left style="medium"/>
      <right/>
      <top style="medium"/>
      <bottom style="hair"/>
    </border>
    <border>
      <left/>
      <right/>
      <top style="medium"/>
      <bottom style="hair"/>
    </border>
    <border>
      <left/>
      <right style="medium"/>
      <top style="medium"/>
      <bottom style="hair"/>
    </border>
    <border>
      <left/>
      <right style="hair"/>
      <top style="thin"/>
      <bottom style="hair"/>
    </border>
    <border>
      <left style="hair"/>
      <right style="hair"/>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26" borderId="0" applyNumberFormat="0" applyBorder="0" applyAlignment="0" applyProtection="0"/>
    <xf numFmtId="0" fontId="112" fillId="27" borderId="1" applyNumberFormat="0" applyAlignment="0" applyProtection="0"/>
    <xf numFmtId="0" fontId="11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0" fillId="0" borderId="0">
      <alignment/>
      <protection/>
    </xf>
    <xf numFmtId="0" fontId="109" fillId="0" borderId="0">
      <alignment/>
      <protection/>
    </xf>
    <xf numFmtId="0" fontId="0" fillId="32" borderId="7" applyNumberFormat="0" applyFont="0" applyAlignment="0" applyProtection="0"/>
    <xf numFmtId="0" fontId="123" fillId="27" borderId="8" applyNumberFormat="0" applyAlignment="0" applyProtection="0"/>
    <xf numFmtId="9" fontId="0" fillId="0" borderId="0" applyFont="0" applyFill="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699">
    <xf numFmtId="0" fontId="0" fillId="0" borderId="0" xfId="0" applyAlignment="1">
      <alignment/>
    </xf>
    <xf numFmtId="0" fontId="7" fillId="0" borderId="0" xfId="56" applyFont="1" applyAlignment="1">
      <alignment horizontal="center" vertical="center"/>
      <protection/>
    </xf>
    <xf numFmtId="0" fontId="127" fillId="0" borderId="0" xfId="56" applyFont="1" applyAlignment="1">
      <alignment horizontal="center" vertical="center"/>
      <protection/>
    </xf>
    <xf numFmtId="0" fontId="128" fillId="33" borderId="0" xfId="0" applyFont="1" applyFill="1" applyBorder="1" applyAlignment="1">
      <alignment horizontal="center" vertical="center"/>
    </xf>
    <xf numFmtId="0" fontId="129" fillId="33" borderId="0" xfId="0" applyFont="1" applyFill="1" applyBorder="1" applyAlignment="1">
      <alignment vertical="center"/>
    </xf>
    <xf numFmtId="167" fontId="2" fillId="33" borderId="0" xfId="0" applyNumberFormat="1" applyFont="1" applyFill="1" applyAlignment="1">
      <alignment horizontal="center" vertical="center"/>
    </xf>
    <xf numFmtId="0" fontId="130" fillId="0" borderId="0" xfId="56" applyFont="1" applyAlignment="1">
      <alignment horizontal="center" vertical="center"/>
      <protection/>
    </xf>
    <xf numFmtId="0" fontId="0" fillId="33" borderId="0" xfId="0" applyFill="1" applyAlignment="1">
      <alignment/>
    </xf>
    <xf numFmtId="0" fontId="131" fillId="33" borderId="0" xfId="0" applyFont="1" applyFill="1" applyBorder="1" applyAlignment="1">
      <alignment horizontal="center" vertical="center"/>
    </xf>
    <xf numFmtId="0" fontId="132" fillId="0" borderId="0" xfId="0" applyFont="1" applyAlignment="1">
      <alignment vertical="center"/>
    </xf>
    <xf numFmtId="0" fontId="133" fillId="0" borderId="0" xfId="0" applyFont="1" applyBorder="1" applyAlignment="1">
      <alignment vertical="center"/>
    </xf>
    <xf numFmtId="0" fontId="134" fillId="0" borderId="0" xfId="0" applyFont="1" applyBorder="1" applyAlignment="1">
      <alignment vertical="center"/>
    </xf>
    <xf numFmtId="0" fontId="135" fillId="0" borderId="0" xfId="0" applyFont="1" applyBorder="1" applyAlignment="1">
      <alignment horizontal="right" vertical="center"/>
    </xf>
    <xf numFmtId="0" fontId="134" fillId="6" borderId="10" xfId="0" applyFont="1" applyFill="1" applyBorder="1" applyAlignment="1">
      <alignment horizontal="center" vertical="center"/>
    </xf>
    <xf numFmtId="3" fontId="134" fillId="0" borderId="11" xfId="0" applyNumberFormat="1" applyFont="1" applyBorder="1" applyAlignment="1">
      <alignment vertical="center"/>
    </xf>
    <xf numFmtId="0" fontId="134" fillId="0" borderId="11" xfId="0" applyFont="1" applyBorder="1" applyAlignment="1">
      <alignment vertical="center"/>
    </xf>
    <xf numFmtId="3" fontId="134" fillId="0" borderId="12" xfId="0" applyNumberFormat="1" applyFont="1" applyBorder="1" applyAlignment="1">
      <alignment vertical="center"/>
    </xf>
    <xf numFmtId="0" fontId="134" fillId="0" borderId="12" xfId="0" applyFont="1" applyBorder="1" applyAlignment="1">
      <alignment vertical="center"/>
    </xf>
    <xf numFmtId="3" fontId="134" fillId="0" borderId="13" xfId="0" applyNumberFormat="1" applyFont="1" applyBorder="1" applyAlignment="1">
      <alignment vertical="center"/>
    </xf>
    <xf numFmtId="0" fontId="134" fillId="0" borderId="13" xfId="0" applyFont="1" applyBorder="1" applyAlignment="1">
      <alignment vertical="center"/>
    </xf>
    <xf numFmtId="3" fontId="134" fillId="10" borderId="14" xfId="0" applyNumberFormat="1" applyFont="1" applyFill="1" applyBorder="1" applyAlignment="1">
      <alignment vertical="center"/>
    </xf>
    <xf numFmtId="3" fontId="134" fillId="33" borderId="11" xfId="0" applyNumberFormat="1" applyFont="1" applyFill="1" applyBorder="1" applyAlignment="1">
      <alignment vertical="center"/>
    </xf>
    <xf numFmtId="3" fontId="134" fillId="33" borderId="13" xfId="0" applyNumberFormat="1" applyFont="1" applyFill="1" applyBorder="1" applyAlignment="1">
      <alignment vertical="center"/>
    </xf>
    <xf numFmtId="3" fontId="134" fillId="10" borderId="15" xfId="0" applyNumberFormat="1" applyFont="1" applyFill="1" applyBorder="1" applyAlignment="1">
      <alignment vertical="center"/>
    </xf>
    <xf numFmtId="9" fontId="134" fillId="32" borderId="14" xfId="60" applyFont="1" applyFill="1" applyBorder="1" applyAlignment="1">
      <alignment vertical="center"/>
    </xf>
    <xf numFmtId="0" fontId="134" fillId="10" borderId="15" xfId="0" applyFont="1" applyFill="1" applyBorder="1" applyAlignment="1">
      <alignment vertical="center"/>
    </xf>
    <xf numFmtId="0" fontId="134" fillId="0" borderId="14" xfId="0" applyFont="1" applyBorder="1" applyAlignment="1">
      <alignment vertical="center"/>
    </xf>
    <xf numFmtId="38" fontId="134" fillId="6" borderId="14" xfId="0" applyNumberFormat="1" applyFont="1" applyFill="1" applyBorder="1" applyAlignment="1">
      <alignment vertical="center"/>
    </xf>
    <xf numFmtId="0" fontId="134" fillId="0" borderId="16" xfId="0" applyFont="1" applyBorder="1" applyAlignment="1">
      <alignment vertical="center"/>
    </xf>
    <xf numFmtId="38" fontId="134" fillId="0" borderId="11" xfId="0" applyNumberFormat="1" applyFont="1" applyBorder="1" applyAlignment="1">
      <alignment vertical="center"/>
    </xf>
    <xf numFmtId="0" fontId="134" fillId="0" borderId="17" xfId="0" applyFont="1" applyBorder="1" applyAlignment="1">
      <alignment vertical="center"/>
    </xf>
    <xf numFmtId="9" fontId="134" fillId="0" borderId="12" xfId="60" applyFont="1" applyBorder="1" applyAlignment="1">
      <alignment vertical="center"/>
    </xf>
    <xf numFmtId="9" fontId="134" fillId="0" borderId="10" xfId="60" applyFont="1" applyBorder="1" applyAlignment="1">
      <alignment vertical="center"/>
    </xf>
    <xf numFmtId="3" fontId="134" fillId="0" borderId="17" xfId="0" applyNumberFormat="1" applyFont="1" applyBorder="1" applyAlignment="1">
      <alignment vertical="center"/>
    </xf>
    <xf numFmtId="3" fontId="134" fillId="0" borderId="10" xfId="60" applyNumberFormat="1" applyFont="1" applyBorder="1" applyAlignment="1">
      <alignment vertical="center"/>
    </xf>
    <xf numFmtId="0" fontId="134" fillId="0" borderId="18" xfId="0" applyFont="1" applyBorder="1" applyAlignment="1">
      <alignment vertical="center"/>
    </xf>
    <xf numFmtId="167" fontId="3" fillId="33" borderId="19" xfId="0" applyNumberFormat="1" applyFont="1" applyFill="1" applyBorder="1" applyAlignment="1">
      <alignment horizontal="left" vertical="center" wrapText="1" readingOrder="2"/>
    </xf>
    <xf numFmtId="167" fontId="3" fillId="33" borderId="20" xfId="0" applyNumberFormat="1" applyFont="1" applyFill="1" applyBorder="1" applyAlignment="1">
      <alignment horizontal="left" vertical="center" wrapText="1" readingOrder="2"/>
    </xf>
    <xf numFmtId="167" fontId="3" fillId="33" borderId="21" xfId="0" applyNumberFormat="1" applyFont="1" applyFill="1" applyBorder="1" applyAlignment="1">
      <alignment horizontal="left" vertical="center" wrapText="1" readingOrder="2"/>
    </xf>
    <xf numFmtId="167" fontId="3" fillId="33" borderId="21" xfId="0" applyNumberFormat="1" applyFont="1" applyFill="1" applyBorder="1" applyAlignment="1">
      <alignment horizontal="right" vertical="center" shrinkToFit="1" readingOrder="2"/>
    </xf>
    <xf numFmtId="0" fontId="15" fillId="33" borderId="0" xfId="0" applyFont="1" applyFill="1" applyAlignment="1">
      <alignment/>
    </xf>
    <xf numFmtId="0" fontId="130" fillId="33" borderId="0" xfId="56" applyFont="1" applyFill="1" applyAlignment="1">
      <alignment horizontal="center" vertical="center"/>
      <protection/>
    </xf>
    <xf numFmtId="167" fontId="4" fillId="33" borderId="0" xfId="0" applyNumberFormat="1" applyFont="1" applyFill="1" applyAlignment="1">
      <alignment horizontal="right" vertical="center" wrapText="1" readingOrder="2"/>
    </xf>
    <xf numFmtId="0" fontId="15" fillId="33" borderId="0" xfId="0" applyFont="1" applyFill="1" applyBorder="1" applyAlignment="1">
      <alignment horizontal="center" vertical="center"/>
    </xf>
    <xf numFmtId="0" fontId="4" fillId="33" borderId="22"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23" xfId="0" applyFont="1" applyFill="1" applyBorder="1" applyAlignment="1">
      <alignment horizontal="center" vertical="center" wrapText="1"/>
    </xf>
    <xf numFmtId="0" fontId="136" fillId="33" borderId="0" xfId="56" applyFont="1" applyFill="1" applyAlignment="1">
      <alignment vertical="center" readingOrder="2"/>
      <protection/>
    </xf>
    <xf numFmtId="3" fontId="11" fillId="33" borderId="0" xfId="0" applyNumberFormat="1" applyFont="1" applyFill="1" applyAlignment="1">
      <alignment/>
    </xf>
    <xf numFmtId="0" fontId="6" fillId="33" borderId="0" xfId="0" applyFont="1" applyFill="1" applyAlignment="1">
      <alignment/>
    </xf>
    <xf numFmtId="0" fontId="6" fillId="33" borderId="0" xfId="0" applyFont="1" applyFill="1" applyBorder="1" applyAlignment="1">
      <alignment horizontal="center" vertical="center"/>
    </xf>
    <xf numFmtId="0" fontId="17" fillId="33" borderId="0" xfId="0" applyFont="1" applyFill="1" applyAlignment="1">
      <alignment/>
    </xf>
    <xf numFmtId="0" fontId="5" fillId="33" borderId="0" xfId="0" applyFont="1" applyFill="1" applyAlignment="1">
      <alignment/>
    </xf>
    <xf numFmtId="0" fontId="5" fillId="33" borderId="0" xfId="0" applyFont="1" applyFill="1" applyBorder="1" applyAlignment="1">
      <alignment horizontal="center" vertical="center"/>
    </xf>
    <xf numFmtId="0" fontId="24" fillId="33" borderId="0" xfId="0" applyFont="1" applyFill="1" applyBorder="1" applyAlignment="1">
      <alignment horizontal="center" vertical="center"/>
    </xf>
    <xf numFmtId="0" fontId="17" fillId="33" borderId="0" xfId="0" applyFont="1" applyFill="1" applyBorder="1" applyAlignment="1">
      <alignment/>
    </xf>
    <xf numFmtId="0" fontId="11" fillId="33" borderId="0" xfId="56" applyFont="1" applyFill="1" applyAlignment="1">
      <alignment vertical="center" readingOrder="2"/>
      <protection/>
    </xf>
    <xf numFmtId="0" fontId="6" fillId="33" borderId="0" xfId="0" applyFont="1" applyFill="1" applyBorder="1" applyAlignment="1">
      <alignment/>
    </xf>
    <xf numFmtId="0" fontId="137" fillId="33" borderId="0" xfId="56" applyFont="1" applyFill="1" applyAlignment="1">
      <alignment horizontal="center" vertical="center"/>
      <protection/>
    </xf>
    <xf numFmtId="167" fontId="5" fillId="33" borderId="0" xfId="0" applyNumberFormat="1" applyFont="1" applyFill="1" applyAlignment="1">
      <alignment horizontal="right" vertical="center" wrapText="1" readingOrder="2"/>
    </xf>
    <xf numFmtId="0" fontId="138" fillId="33" borderId="0" xfId="56" applyFont="1" applyFill="1" applyAlignment="1">
      <alignment horizontal="center" vertical="center"/>
      <protection/>
    </xf>
    <xf numFmtId="0" fontId="12" fillId="33" borderId="22" xfId="0" applyFont="1" applyFill="1" applyBorder="1" applyAlignment="1">
      <alignment horizontal="center" vertical="center"/>
    </xf>
    <xf numFmtId="0" fontId="4" fillId="33" borderId="22" xfId="0" applyFont="1" applyFill="1" applyBorder="1" applyAlignment="1">
      <alignment horizontal="center" vertical="center"/>
    </xf>
    <xf numFmtId="0" fontId="137" fillId="33" borderId="22" xfId="56" applyFont="1" applyFill="1" applyBorder="1" applyAlignment="1">
      <alignment horizontal="center" vertical="center"/>
      <protection/>
    </xf>
    <xf numFmtId="0" fontId="137" fillId="33" borderId="0" xfId="56" applyFont="1" applyFill="1" applyBorder="1" applyAlignment="1">
      <alignment horizontal="center" vertical="center"/>
      <protection/>
    </xf>
    <xf numFmtId="0" fontId="137" fillId="33" borderId="0" xfId="56" applyFont="1" applyFill="1" applyAlignment="1">
      <alignment horizontal="right" vertical="center"/>
      <protection/>
    </xf>
    <xf numFmtId="0" fontId="137" fillId="33" borderId="24" xfId="56" applyFont="1" applyFill="1" applyBorder="1" applyAlignment="1">
      <alignment horizontal="center" vertical="center"/>
      <protection/>
    </xf>
    <xf numFmtId="167" fontId="5" fillId="33" borderId="0" xfId="0" applyNumberFormat="1" applyFont="1" applyFill="1" applyAlignment="1">
      <alignment vertical="center" wrapText="1" readingOrder="2"/>
    </xf>
    <xf numFmtId="167" fontId="5" fillId="33" borderId="0" xfId="0" applyNumberFormat="1" applyFont="1" applyFill="1" applyAlignment="1">
      <alignment horizontal="center" vertical="center"/>
    </xf>
    <xf numFmtId="167" fontId="5" fillId="33" borderId="0" xfId="0" applyNumberFormat="1" applyFont="1" applyFill="1" applyAlignment="1">
      <alignment vertical="center"/>
    </xf>
    <xf numFmtId="0" fontId="139" fillId="33" borderId="0" xfId="56" applyFont="1" applyFill="1" applyAlignment="1">
      <alignment horizontal="center" vertical="center"/>
      <protection/>
    </xf>
    <xf numFmtId="0" fontId="140" fillId="33" borderId="0" xfId="0" applyFont="1" applyFill="1" applyBorder="1" applyAlignment="1">
      <alignment/>
    </xf>
    <xf numFmtId="49" fontId="140" fillId="33" borderId="0" xfId="0" applyNumberFormat="1" applyFont="1" applyFill="1" applyBorder="1" applyAlignment="1">
      <alignment/>
    </xf>
    <xf numFmtId="0" fontId="141" fillId="33" borderId="0" xfId="0" applyFont="1" applyFill="1" applyBorder="1" applyAlignment="1">
      <alignment/>
    </xf>
    <xf numFmtId="0" fontId="142" fillId="33" borderId="0" xfId="0" applyFont="1" applyFill="1" applyBorder="1" applyAlignment="1">
      <alignment/>
    </xf>
    <xf numFmtId="49" fontId="142" fillId="33" borderId="0" xfId="0" applyNumberFormat="1" applyFont="1" applyFill="1" applyBorder="1" applyAlignment="1">
      <alignment/>
    </xf>
    <xf numFmtId="0" fontId="142" fillId="33" borderId="0" xfId="0" applyFont="1" applyFill="1" applyBorder="1" applyAlignment="1">
      <alignment horizontal="center"/>
    </xf>
    <xf numFmtId="0" fontId="142" fillId="33" borderId="0" xfId="0" applyFont="1" applyFill="1" applyBorder="1" applyAlignment="1">
      <alignment horizontal="center" vertical="center"/>
    </xf>
    <xf numFmtId="0" fontId="142" fillId="33" borderId="25" xfId="0" applyFont="1" applyFill="1" applyBorder="1" applyAlignment="1">
      <alignment horizontal="center" wrapText="1"/>
    </xf>
    <xf numFmtId="0" fontId="142" fillId="33" borderId="0" xfId="0" applyFont="1" applyFill="1" applyBorder="1" applyAlignment="1">
      <alignment horizontal="center" wrapText="1"/>
    </xf>
    <xf numFmtId="49" fontId="142" fillId="33" borderId="0" xfId="0" applyNumberFormat="1" applyFont="1" applyFill="1" applyBorder="1" applyAlignment="1">
      <alignment horizontal="center" wrapText="1"/>
    </xf>
    <xf numFmtId="0" fontId="142" fillId="33" borderId="23" xfId="0" applyFont="1" applyFill="1" applyBorder="1" applyAlignment="1">
      <alignment horizontal="center" vertical="center" wrapText="1"/>
    </xf>
    <xf numFmtId="0" fontId="142" fillId="33" borderId="0" xfId="0" applyFont="1" applyFill="1" applyBorder="1" applyAlignment="1">
      <alignment horizontal="center" vertical="center" wrapText="1"/>
    </xf>
    <xf numFmtId="167" fontId="3" fillId="33" borderId="0" xfId="0" applyNumberFormat="1" applyFont="1" applyFill="1" applyAlignment="1">
      <alignment horizontal="right" vertical="center" wrapText="1" readingOrder="2"/>
    </xf>
    <xf numFmtId="49" fontId="140" fillId="33" borderId="22" xfId="0" applyNumberFormat="1" applyFont="1" applyFill="1" applyBorder="1" applyAlignment="1">
      <alignment/>
    </xf>
    <xf numFmtId="3" fontId="140" fillId="33" borderId="0" xfId="0" applyNumberFormat="1" applyFont="1" applyFill="1" applyBorder="1" applyAlignment="1">
      <alignment/>
    </xf>
    <xf numFmtId="49" fontId="140" fillId="33" borderId="0" xfId="0" applyNumberFormat="1" applyFont="1" applyFill="1" applyBorder="1" applyAlignment="1">
      <alignment horizontal="center"/>
    </xf>
    <xf numFmtId="0" fontId="140" fillId="33" borderId="22" xfId="0" applyFont="1" applyFill="1" applyBorder="1" applyAlignment="1">
      <alignment/>
    </xf>
    <xf numFmtId="3" fontId="140" fillId="33" borderId="22" xfId="0" applyNumberFormat="1" applyFont="1" applyFill="1" applyBorder="1" applyAlignment="1">
      <alignment/>
    </xf>
    <xf numFmtId="0" fontId="142" fillId="33" borderId="0" xfId="56" applyFont="1" applyFill="1" applyAlignment="1">
      <alignment horizontal="right" vertical="center"/>
      <protection/>
    </xf>
    <xf numFmtId="3" fontId="142" fillId="33" borderId="0" xfId="0" applyNumberFormat="1" applyFont="1" applyFill="1" applyBorder="1" applyAlignment="1">
      <alignment/>
    </xf>
    <xf numFmtId="0" fontId="142" fillId="33" borderId="22" xfId="0" applyFont="1" applyFill="1" applyBorder="1" applyAlignment="1">
      <alignment/>
    </xf>
    <xf numFmtId="167" fontId="7" fillId="33" borderId="0" xfId="0" applyNumberFormat="1" applyFont="1" applyFill="1" applyAlignment="1">
      <alignment horizontal="right" vertical="center" wrapText="1" readingOrder="2"/>
    </xf>
    <xf numFmtId="0" fontId="142" fillId="33" borderId="24" xfId="0" applyFont="1" applyFill="1" applyBorder="1" applyAlignment="1">
      <alignment/>
    </xf>
    <xf numFmtId="0" fontId="140" fillId="33" borderId="0" xfId="56" applyFont="1" applyFill="1" applyAlignment="1">
      <alignment vertical="center"/>
      <protection/>
    </xf>
    <xf numFmtId="0" fontId="16" fillId="33" borderId="0" xfId="56" applyFont="1" applyFill="1" applyAlignment="1">
      <alignment vertical="center" readingOrder="2"/>
      <protection/>
    </xf>
    <xf numFmtId="0" fontId="143" fillId="33" borderId="0" xfId="56" applyFont="1" applyFill="1" applyAlignment="1">
      <alignment vertical="center" readingOrder="2"/>
      <protection/>
    </xf>
    <xf numFmtId="0" fontId="2" fillId="33" borderId="0" xfId="0" applyFont="1" applyFill="1" applyAlignment="1">
      <alignment/>
    </xf>
    <xf numFmtId="0" fontId="128" fillId="33" borderId="0" xfId="0" applyFont="1" applyFill="1" applyBorder="1" applyAlignment="1">
      <alignment/>
    </xf>
    <xf numFmtId="49" fontId="128" fillId="33" borderId="0" xfId="0" applyNumberFormat="1" applyFont="1" applyFill="1" applyBorder="1" applyAlignment="1">
      <alignment/>
    </xf>
    <xf numFmtId="49" fontId="2" fillId="33" borderId="0" xfId="0" applyNumberFormat="1" applyFont="1" applyFill="1" applyAlignment="1">
      <alignment/>
    </xf>
    <xf numFmtId="0" fontId="2" fillId="33" borderId="0" xfId="0" applyFont="1" applyFill="1" applyBorder="1" applyAlignment="1">
      <alignment/>
    </xf>
    <xf numFmtId="0" fontId="25" fillId="33" borderId="0" xfId="0" applyFont="1" applyFill="1" applyAlignment="1">
      <alignment/>
    </xf>
    <xf numFmtId="0" fontId="25" fillId="33" borderId="0" xfId="0" applyFont="1" applyFill="1" applyBorder="1" applyAlignment="1">
      <alignment/>
    </xf>
    <xf numFmtId="0" fontId="140" fillId="33" borderId="0" xfId="0" applyFont="1" applyFill="1" applyBorder="1" applyAlignment="1">
      <alignment horizontal="center" wrapText="1"/>
    </xf>
    <xf numFmtId="0" fontId="137" fillId="33" borderId="0" xfId="0" applyFont="1" applyFill="1" applyBorder="1" applyAlignment="1">
      <alignment horizontal="left"/>
    </xf>
    <xf numFmtId="0" fontId="137" fillId="33" borderId="0" xfId="0" applyFont="1" applyFill="1" applyBorder="1" applyAlignment="1">
      <alignment/>
    </xf>
    <xf numFmtId="0" fontId="137" fillId="33" borderId="0" xfId="0" applyFont="1" applyFill="1" applyBorder="1" applyAlignment="1">
      <alignment horizontal="center"/>
    </xf>
    <xf numFmtId="0" fontId="137" fillId="33" borderId="0" xfId="0" applyFont="1" applyFill="1" applyBorder="1" applyAlignment="1">
      <alignment/>
    </xf>
    <xf numFmtId="0" fontId="144" fillId="33" borderId="0" xfId="0" applyFont="1" applyFill="1" applyBorder="1" applyAlignment="1">
      <alignment horizontal="left"/>
    </xf>
    <xf numFmtId="0" fontId="144" fillId="33" borderId="0" xfId="0" applyFont="1" applyFill="1" applyBorder="1" applyAlignment="1">
      <alignment/>
    </xf>
    <xf numFmtId="0" fontId="144" fillId="33" borderId="0" xfId="0" applyFont="1" applyFill="1" applyBorder="1" applyAlignment="1">
      <alignment horizontal="center"/>
    </xf>
    <xf numFmtId="0" fontId="144" fillId="33" borderId="0" xfId="0" applyFont="1" applyFill="1" applyBorder="1" applyAlignment="1">
      <alignment/>
    </xf>
    <xf numFmtId="49" fontId="144" fillId="33" borderId="26" xfId="0" applyNumberFormat="1" applyFont="1" applyFill="1" applyBorder="1" applyAlignment="1">
      <alignment horizontal="center" wrapText="1"/>
    </xf>
    <xf numFmtId="49" fontId="137" fillId="33" borderId="26" xfId="0" applyNumberFormat="1" applyFont="1" applyFill="1" applyBorder="1" applyAlignment="1">
      <alignment horizontal="center" wrapText="1"/>
    </xf>
    <xf numFmtId="49" fontId="137" fillId="33" borderId="0" xfId="0" applyNumberFormat="1" applyFont="1" applyFill="1" applyBorder="1" applyAlignment="1">
      <alignment/>
    </xf>
    <xf numFmtId="166" fontId="8" fillId="33" borderId="0" xfId="0" applyNumberFormat="1" applyFont="1" applyFill="1" applyAlignment="1">
      <alignment horizontal="center" vertical="center"/>
    </xf>
    <xf numFmtId="0" fontId="8" fillId="33" borderId="0" xfId="0" applyFont="1" applyFill="1" applyAlignment="1">
      <alignment horizontal="center" vertical="center"/>
    </xf>
    <xf numFmtId="0" fontId="17" fillId="33" borderId="0" xfId="0" applyFont="1" applyFill="1" applyBorder="1" applyAlignment="1">
      <alignment horizontal="right" vertical="center"/>
    </xf>
    <xf numFmtId="0" fontId="18" fillId="33" borderId="0" xfId="0" applyFont="1" applyFill="1" applyBorder="1" applyAlignment="1">
      <alignment horizontal="right" vertical="center"/>
    </xf>
    <xf numFmtId="166" fontId="3" fillId="33" borderId="0" xfId="0" applyNumberFormat="1" applyFont="1" applyFill="1" applyAlignment="1">
      <alignment horizontal="center" vertical="center"/>
    </xf>
    <xf numFmtId="0" fontId="3" fillId="33" borderId="0" xfId="0" applyFont="1" applyFill="1" applyAlignment="1">
      <alignment horizontal="center" vertical="center"/>
    </xf>
    <xf numFmtId="166" fontId="6" fillId="33" borderId="0" xfId="0" applyNumberFormat="1" applyFont="1" applyFill="1" applyAlignment="1">
      <alignment horizontal="center" vertical="center"/>
    </xf>
    <xf numFmtId="0" fontId="6" fillId="33" borderId="0" xfId="0" applyFont="1" applyFill="1" applyAlignment="1">
      <alignment horizontal="center" vertical="center"/>
    </xf>
    <xf numFmtId="166" fontId="6" fillId="33" borderId="0" xfId="0" applyNumberFormat="1" applyFont="1" applyFill="1" applyBorder="1" applyAlignment="1">
      <alignment horizontal="center" vertical="center" readingOrder="2"/>
    </xf>
    <xf numFmtId="166" fontId="6" fillId="33" borderId="0" xfId="0" applyNumberFormat="1" applyFont="1" applyFill="1" applyBorder="1" applyAlignment="1">
      <alignment horizontal="right" vertical="center" readingOrder="2"/>
    </xf>
    <xf numFmtId="166" fontId="6" fillId="33" borderId="0" xfId="0" applyNumberFormat="1" applyFont="1" applyFill="1" applyBorder="1" applyAlignment="1">
      <alignment horizontal="center" vertical="center"/>
    </xf>
    <xf numFmtId="166" fontId="6" fillId="33" borderId="22" xfId="0" applyNumberFormat="1" applyFont="1" applyFill="1" applyBorder="1" applyAlignment="1">
      <alignment horizontal="right" vertical="center" readingOrder="2"/>
    </xf>
    <xf numFmtId="166" fontId="2" fillId="33" borderId="0" xfId="0" applyNumberFormat="1" applyFont="1" applyFill="1" applyAlignment="1">
      <alignment horizontal="center" vertical="center"/>
    </xf>
    <xf numFmtId="166" fontId="8" fillId="33" borderId="0" xfId="0" applyNumberFormat="1" applyFont="1" applyFill="1" applyAlignment="1">
      <alignment horizontal="right" vertical="center"/>
    </xf>
    <xf numFmtId="166" fontId="2" fillId="33" borderId="0" xfId="0" applyNumberFormat="1" applyFont="1" applyFill="1" applyBorder="1" applyAlignment="1">
      <alignment horizontal="center" vertical="center"/>
    </xf>
    <xf numFmtId="166" fontId="2" fillId="33" borderId="0" xfId="0" applyNumberFormat="1" applyFont="1" applyFill="1" applyBorder="1" applyAlignment="1">
      <alignment horizontal="right" vertical="center"/>
    </xf>
    <xf numFmtId="0" fontId="2" fillId="33" borderId="0" xfId="0" applyFont="1" applyFill="1" applyAlignment="1">
      <alignment horizontal="center" vertical="center"/>
    </xf>
    <xf numFmtId="0" fontId="3" fillId="33" borderId="0"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0" xfId="0" applyFont="1" applyFill="1" applyAlignment="1">
      <alignment horizontal="center"/>
    </xf>
    <xf numFmtId="0" fontId="2"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6" fillId="33" borderId="0" xfId="0" applyFont="1" applyFill="1" applyBorder="1" applyAlignment="1">
      <alignment horizontal="right" vertical="center"/>
    </xf>
    <xf numFmtId="0" fontId="3" fillId="33" borderId="0" xfId="0" applyFont="1" applyFill="1" applyAlignment="1">
      <alignment vertical="center"/>
    </xf>
    <xf numFmtId="166" fontId="24" fillId="33" borderId="0" xfId="0" applyNumberFormat="1" applyFont="1" applyFill="1" applyAlignment="1">
      <alignment horizontal="center" vertical="center"/>
    </xf>
    <xf numFmtId="0" fontId="24" fillId="33" borderId="0" xfId="0" applyFont="1" applyFill="1" applyBorder="1" applyAlignment="1">
      <alignment vertical="center"/>
    </xf>
    <xf numFmtId="0" fontId="24" fillId="33" borderId="0" xfId="0" applyFont="1" applyFill="1" applyAlignment="1">
      <alignment horizontal="center" vertical="center"/>
    </xf>
    <xf numFmtId="0" fontId="26" fillId="33" borderId="0" xfId="0" applyFont="1" applyFill="1" applyBorder="1" applyAlignment="1">
      <alignment vertical="center"/>
    </xf>
    <xf numFmtId="0" fontId="24" fillId="33" borderId="22" xfId="0" applyFont="1" applyFill="1" applyBorder="1" applyAlignment="1">
      <alignment horizontal="center" vertical="center"/>
    </xf>
    <xf numFmtId="166" fontId="24" fillId="33" borderId="0" xfId="0" applyNumberFormat="1" applyFont="1" applyFill="1" applyBorder="1" applyAlignment="1">
      <alignment horizontal="center" vertical="center"/>
    </xf>
    <xf numFmtId="0" fontId="24" fillId="33" borderId="23"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24" fillId="33" borderId="23" xfId="0" applyFont="1" applyFill="1" applyBorder="1" applyAlignment="1">
      <alignment horizontal="center" vertical="center"/>
    </xf>
    <xf numFmtId="166" fontId="24" fillId="33" borderId="0" xfId="0" applyNumberFormat="1" applyFont="1" applyFill="1" applyBorder="1" applyAlignment="1">
      <alignment horizontal="center" vertical="center" readingOrder="2"/>
    </xf>
    <xf numFmtId="0" fontId="25" fillId="33" borderId="0" xfId="0" applyFont="1" applyFill="1" applyBorder="1" applyAlignment="1">
      <alignment horizontal="center" vertical="center"/>
    </xf>
    <xf numFmtId="0" fontId="25" fillId="33" borderId="0" xfId="0" applyFont="1" applyFill="1" applyAlignment="1">
      <alignment horizontal="center" vertical="center"/>
    </xf>
    <xf numFmtId="166" fontId="25" fillId="33" borderId="0" xfId="0" applyNumberFormat="1" applyFont="1" applyFill="1" applyBorder="1" applyAlignment="1">
      <alignment horizontal="center" vertical="center"/>
    </xf>
    <xf numFmtId="0" fontId="25" fillId="33" borderId="22" xfId="0" applyFont="1" applyFill="1" applyBorder="1" applyAlignment="1">
      <alignment horizontal="center" vertical="center"/>
    </xf>
    <xf numFmtId="0" fontId="25" fillId="33" borderId="0" xfId="0" applyFont="1" applyFill="1" applyBorder="1" applyAlignment="1">
      <alignment horizontal="right" vertical="center"/>
    </xf>
    <xf numFmtId="0" fontId="145" fillId="33" borderId="0" xfId="0" applyFont="1" applyFill="1" applyBorder="1" applyAlignment="1">
      <alignment horizontal="center" vertical="center"/>
    </xf>
    <xf numFmtId="0" fontId="146" fillId="33" borderId="0" xfId="0" applyFont="1" applyFill="1" applyBorder="1" applyAlignment="1">
      <alignment horizontal="center" vertical="center"/>
    </xf>
    <xf numFmtId="0" fontId="15" fillId="33" borderId="0" xfId="0" applyFont="1" applyFill="1" applyAlignment="1">
      <alignment horizontal="center" vertical="center"/>
    </xf>
    <xf numFmtId="166" fontId="15" fillId="33" borderId="0" xfId="0" applyNumberFormat="1"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0" xfId="0" applyFont="1" applyFill="1" applyBorder="1" applyAlignment="1">
      <alignment horizontal="right" vertical="center"/>
    </xf>
    <xf numFmtId="0" fontId="15" fillId="33" borderId="23"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xf>
    <xf numFmtId="0" fontId="21" fillId="33" borderId="0" xfId="0" applyFont="1" applyFill="1" applyBorder="1" applyAlignment="1">
      <alignment vertical="center"/>
    </xf>
    <xf numFmtId="0" fontId="25" fillId="33" borderId="0" xfId="0" applyFont="1" applyFill="1" applyBorder="1" applyAlignment="1">
      <alignment vertical="center"/>
    </xf>
    <xf numFmtId="167" fontId="3" fillId="33" borderId="27" xfId="0" applyNumberFormat="1" applyFont="1" applyFill="1" applyBorder="1" applyAlignment="1">
      <alignment horizontal="left" vertical="center" wrapText="1" readingOrder="2"/>
    </xf>
    <xf numFmtId="0" fontId="29" fillId="33" borderId="0" xfId="56" applyFont="1" applyFill="1" applyAlignment="1">
      <alignment vertical="center" readingOrder="2"/>
      <protection/>
    </xf>
    <xf numFmtId="0" fontId="28" fillId="33" borderId="0" xfId="56" applyFont="1" applyFill="1" applyAlignment="1">
      <alignment vertical="center" readingOrder="2"/>
      <protection/>
    </xf>
    <xf numFmtId="3" fontId="27" fillId="33" borderId="0" xfId="0" applyNumberFormat="1" applyFont="1" applyFill="1" applyAlignment="1">
      <alignment/>
    </xf>
    <xf numFmtId="167" fontId="3" fillId="33" borderId="28" xfId="0" applyNumberFormat="1" applyFont="1" applyFill="1" applyBorder="1" applyAlignment="1">
      <alignment horizontal="center" vertical="center" wrapText="1" readingOrder="2"/>
    </xf>
    <xf numFmtId="167" fontId="3" fillId="33" borderId="29" xfId="0" applyNumberFormat="1" applyFont="1" applyFill="1" applyBorder="1" applyAlignment="1">
      <alignment vertical="center" wrapText="1" readingOrder="2"/>
    </xf>
    <xf numFmtId="167" fontId="3" fillId="33" borderId="30" xfId="0" applyNumberFormat="1" applyFont="1" applyFill="1" applyBorder="1" applyAlignment="1">
      <alignment vertical="center" wrapText="1" readingOrder="2"/>
    </xf>
    <xf numFmtId="167" fontId="3" fillId="33" borderId="31" xfId="0" applyNumberFormat="1" applyFont="1" applyFill="1" applyBorder="1" applyAlignment="1">
      <alignment vertical="center" wrapText="1" readingOrder="2"/>
    </xf>
    <xf numFmtId="167" fontId="3" fillId="33" borderId="32" xfId="0" applyNumberFormat="1" applyFont="1" applyFill="1" applyBorder="1" applyAlignment="1">
      <alignment horizontal="left" wrapText="1" readingOrder="2"/>
    </xf>
    <xf numFmtId="167" fontId="3" fillId="33" borderId="21" xfId="0" applyNumberFormat="1" applyFont="1" applyFill="1" applyBorder="1" applyAlignment="1">
      <alignment horizontal="left" wrapText="1" readingOrder="2"/>
    </xf>
    <xf numFmtId="167" fontId="3" fillId="33" borderId="27" xfId="0" applyNumberFormat="1" applyFont="1" applyFill="1" applyBorder="1" applyAlignment="1">
      <alignment horizontal="left" wrapText="1" readingOrder="2"/>
    </xf>
    <xf numFmtId="167" fontId="3" fillId="33" borderId="28" xfId="0" applyNumberFormat="1" applyFont="1" applyFill="1" applyBorder="1" applyAlignment="1">
      <alignment horizontal="left" wrapText="1" readingOrder="2"/>
    </xf>
    <xf numFmtId="167" fontId="3" fillId="33" borderId="33" xfId="0" applyNumberFormat="1" applyFont="1" applyFill="1" applyBorder="1" applyAlignment="1">
      <alignment horizontal="left" wrapText="1" readingOrder="2"/>
    </xf>
    <xf numFmtId="167" fontId="3" fillId="33" borderId="34" xfId="0" applyNumberFormat="1" applyFont="1" applyFill="1" applyBorder="1" applyAlignment="1">
      <alignment horizontal="left" wrapText="1" readingOrder="2"/>
    </xf>
    <xf numFmtId="167" fontId="3" fillId="33" borderId="35" xfId="0" applyNumberFormat="1" applyFont="1" applyFill="1" applyBorder="1" applyAlignment="1">
      <alignment horizontal="left" wrapText="1" readingOrder="2"/>
    </xf>
    <xf numFmtId="167" fontId="3" fillId="33" borderId="36" xfId="0" applyNumberFormat="1" applyFont="1" applyFill="1" applyBorder="1" applyAlignment="1">
      <alignment horizontal="left" vertical="center" wrapText="1" readingOrder="2"/>
    </xf>
    <xf numFmtId="167" fontId="3" fillId="33" borderId="37" xfId="0" applyNumberFormat="1" applyFont="1" applyFill="1" applyBorder="1" applyAlignment="1">
      <alignment horizontal="left" vertical="top" wrapText="1" readingOrder="2"/>
    </xf>
    <xf numFmtId="167" fontId="3" fillId="33" borderId="38" xfId="0" applyNumberFormat="1" applyFont="1" applyFill="1" applyBorder="1" applyAlignment="1">
      <alignment horizontal="left" vertical="top" wrapText="1" readingOrder="2"/>
    </xf>
    <xf numFmtId="167" fontId="3" fillId="33" borderId="19" xfId="0" applyNumberFormat="1" applyFont="1" applyFill="1" applyBorder="1" applyAlignment="1">
      <alignment horizontal="left" vertical="top" wrapText="1" readingOrder="2"/>
    </xf>
    <xf numFmtId="167" fontId="3" fillId="33" borderId="21" xfId="0" applyNumberFormat="1" applyFont="1" applyFill="1" applyBorder="1" applyAlignment="1">
      <alignment horizontal="left" vertical="top" wrapText="1" readingOrder="2"/>
    </xf>
    <xf numFmtId="167" fontId="3" fillId="33" borderId="27" xfId="0" applyNumberFormat="1" applyFont="1" applyFill="1" applyBorder="1" applyAlignment="1">
      <alignment horizontal="left" vertical="top" wrapText="1" readingOrder="2"/>
    </xf>
    <xf numFmtId="167" fontId="3" fillId="33" borderId="39" xfId="0" applyNumberFormat="1" applyFont="1" applyFill="1" applyBorder="1" applyAlignment="1">
      <alignment horizontal="left" vertical="top" wrapText="1" readingOrder="2"/>
    </xf>
    <xf numFmtId="167" fontId="3" fillId="33" borderId="34" xfId="0" applyNumberFormat="1" applyFont="1" applyFill="1" applyBorder="1" applyAlignment="1">
      <alignment vertical="top" wrapText="1" readingOrder="2"/>
    </xf>
    <xf numFmtId="167" fontId="3" fillId="33" borderId="35" xfId="0" applyNumberFormat="1" applyFont="1" applyFill="1" applyBorder="1" applyAlignment="1">
      <alignment vertical="top" wrapText="1" readingOrder="2"/>
    </xf>
    <xf numFmtId="167" fontId="3" fillId="33" borderId="40" xfId="0" applyNumberFormat="1" applyFont="1" applyFill="1" applyBorder="1" applyAlignment="1">
      <alignment vertical="center" wrapText="1" readingOrder="2"/>
    </xf>
    <xf numFmtId="167" fontId="3" fillId="33" borderId="41" xfId="0" applyNumberFormat="1" applyFont="1" applyFill="1" applyBorder="1" applyAlignment="1">
      <alignment vertical="center" wrapText="1" readingOrder="2"/>
    </xf>
    <xf numFmtId="167" fontId="3" fillId="33" borderId="42" xfId="0" applyNumberFormat="1" applyFont="1" applyFill="1" applyBorder="1" applyAlignment="1">
      <alignment horizontal="left" vertical="center" wrapText="1" readingOrder="2"/>
    </xf>
    <xf numFmtId="167" fontId="3" fillId="33" borderId="17" xfId="0" applyNumberFormat="1" applyFont="1" applyFill="1" applyBorder="1" applyAlignment="1">
      <alignment horizontal="left" vertical="top" wrapText="1" readingOrder="2"/>
    </xf>
    <xf numFmtId="167" fontId="3" fillId="33" borderId="34" xfId="0" applyNumberFormat="1" applyFont="1" applyFill="1" applyBorder="1" applyAlignment="1">
      <alignment horizontal="left" vertical="top" wrapText="1" readingOrder="2"/>
    </xf>
    <xf numFmtId="167" fontId="3" fillId="33" borderId="35" xfId="0" applyNumberFormat="1" applyFont="1" applyFill="1" applyBorder="1" applyAlignment="1">
      <alignment horizontal="left" vertical="top" wrapText="1" readingOrder="2"/>
    </xf>
    <xf numFmtId="167" fontId="3" fillId="33" borderId="21" xfId="0" applyNumberFormat="1" applyFont="1" applyFill="1" applyBorder="1" applyAlignment="1">
      <alignment vertical="center" shrinkToFit="1" readingOrder="2"/>
    </xf>
    <xf numFmtId="167" fontId="3" fillId="33" borderId="17" xfId="0" applyNumberFormat="1" applyFont="1" applyFill="1" applyBorder="1" applyAlignment="1">
      <alignment horizontal="left" vertical="center" wrapText="1" readingOrder="2"/>
    </xf>
    <xf numFmtId="167" fontId="3" fillId="33" borderId="34" xfId="0" applyNumberFormat="1" applyFont="1" applyFill="1" applyBorder="1" applyAlignment="1">
      <alignment horizontal="left" vertical="center" wrapText="1" readingOrder="2"/>
    </xf>
    <xf numFmtId="167" fontId="3" fillId="33" borderId="35" xfId="0" applyNumberFormat="1" applyFont="1" applyFill="1" applyBorder="1" applyAlignment="1">
      <alignment horizontal="left" vertical="center" wrapText="1" readingOrder="2"/>
    </xf>
    <xf numFmtId="167" fontId="3" fillId="33" borderId="20" xfId="0" applyNumberFormat="1" applyFont="1" applyFill="1" applyBorder="1" applyAlignment="1">
      <alignment horizontal="left" wrapText="1" readingOrder="2"/>
    </xf>
    <xf numFmtId="167" fontId="3" fillId="33" borderId="43" xfId="0" applyNumberFormat="1" applyFont="1" applyFill="1" applyBorder="1" applyAlignment="1">
      <alignment horizontal="left" wrapText="1" readingOrder="2"/>
    </xf>
    <xf numFmtId="167" fontId="3" fillId="33" borderId="44" xfId="0" applyNumberFormat="1" applyFont="1" applyFill="1" applyBorder="1" applyAlignment="1">
      <alignment horizontal="left" vertical="top" wrapText="1" readingOrder="2"/>
    </xf>
    <xf numFmtId="167" fontId="3" fillId="33" borderId="20" xfId="0" applyNumberFormat="1" applyFont="1" applyFill="1" applyBorder="1" applyAlignment="1">
      <alignment horizontal="left" vertical="top" wrapText="1" readingOrder="2"/>
    </xf>
    <xf numFmtId="167" fontId="3" fillId="33" borderId="45" xfId="0" applyNumberFormat="1" applyFont="1" applyFill="1" applyBorder="1" applyAlignment="1">
      <alignment horizontal="left" vertical="center" wrapText="1" readingOrder="2"/>
    </xf>
    <xf numFmtId="167" fontId="3" fillId="33" borderId="33" xfId="0" applyNumberFormat="1" applyFont="1" applyFill="1" applyBorder="1" applyAlignment="1">
      <alignment vertical="top" wrapText="1" readingOrder="2"/>
    </xf>
    <xf numFmtId="167" fontId="3" fillId="33" borderId="26" xfId="0" applyNumberFormat="1" applyFont="1" applyFill="1" applyBorder="1" applyAlignment="1">
      <alignment vertical="center" wrapText="1" readingOrder="2"/>
    </xf>
    <xf numFmtId="167" fontId="3" fillId="33" borderId="46" xfId="0" applyNumberFormat="1" applyFont="1" applyFill="1" applyBorder="1" applyAlignment="1">
      <alignment horizontal="left" vertical="top" wrapText="1" readingOrder="2"/>
    </xf>
    <xf numFmtId="167" fontId="3" fillId="33" borderId="46" xfId="0" applyNumberFormat="1" applyFont="1" applyFill="1" applyBorder="1" applyAlignment="1">
      <alignment horizontal="left" vertical="center" wrapText="1" readingOrder="2"/>
    </xf>
    <xf numFmtId="167" fontId="3" fillId="33" borderId="47" xfId="0" applyNumberFormat="1" applyFont="1" applyFill="1" applyBorder="1" applyAlignment="1">
      <alignment vertical="center" shrinkToFit="1"/>
    </xf>
    <xf numFmtId="167" fontId="3" fillId="33" borderId="48" xfId="0" applyNumberFormat="1" applyFont="1" applyFill="1" applyBorder="1" applyAlignment="1">
      <alignment vertical="center" shrinkToFit="1"/>
    </xf>
    <xf numFmtId="167" fontId="3" fillId="33" borderId="49" xfId="0" applyNumberFormat="1" applyFont="1" applyFill="1" applyBorder="1" applyAlignment="1">
      <alignment vertical="center" shrinkToFit="1"/>
    </xf>
    <xf numFmtId="167" fontId="3" fillId="33" borderId="50" xfId="0" applyNumberFormat="1" applyFont="1" applyFill="1" applyBorder="1" applyAlignment="1">
      <alignment vertical="center" shrinkToFit="1"/>
    </xf>
    <xf numFmtId="0" fontId="127" fillId="33" borderId="0" xfId="56" applyFont="1" applyFill="1" applyAlignment="1">
      <alignment horizontal="center" vertical="center"/>
      <protection/>
    </xf>
    <xf numFmtId="0" fontId="147" fillId="33" borderId="0" xfId="56" applyFont="1" applyFill="1" applyAlignment="1">
      <alignment vertical="center" readingOrder="2"/>
      <protection/>
    </xf>
    <xf numFmtId="0" fontId="148" fillId="33" borderId="0" xfId="56" applyFont="1" applyFill="1" applyAlignment="1">
      <alignment horizontal="center" vertical="center"/>
      <protection/>
    </xf>
    <xf numFmtId="3" fontId="30" fillId="33" borderId="0" xfId="0" applyNumberFormat="1" applyFont="1" applyFill="1" applyAlignment="1">
      <alignment/>
    </xf>
    <xf numFmtId="0" fontId="7" fillId="33" borderId="0" xfId="56" applyFont="1" applyFill="1" applyAlignment="1">
      <alignment horizontal="center" vertical="center"/>
      <protection/>
    </xf>
    <xf numFmtId="0" fontId="134" fillId="0" borderId="51" xfId="0" applyFont="1" applyBorder="1" applyAlignment="1">
      <alignment vertical="center"/>
    </xf>
    <xf numFmtId="0" fontId="134" fillId="0" borderId="19" xfId="0" applyFont="1" applyBorder="1" applyAlignment="1">
      <alignment vertical="center"/>
    </xf>
    <xf numFmtId="0" fontId="134" fillId="0" borderId="51" xfId="0" applyFont="1" applyBorder="1" applyAlignment="1">
      <alignment vertical="center" wrapText="1"/>
    </xf>
    <xf numFmtId="9" fontId="134" fillId="32" borderId="45" xfId="60" applyFont="1" applyFill="1" applyBorder="1" applyAlignment="1">
      <alignment vertical="center"/>
    </xf>
    <xf numFmtId="0" fontId="14" fillId="0" borderId="51" xfId="0" applyFont="1" applyBorder="1" applyAlignment="1">
      <alignment vertical="center"/>
    </xf>
    <xf numFmtId="0" fontId="134" fillId="0" borderId="45" xfId="0" applyFont="1" applyBorder="1" applyAlignment="1">
      <alignment vertical="center" wrapText="1"/>
    </xf>
    <xf numFmtId="38" fontId="149" fillId="0" borderId="0" xfId="0" applyNumberFormat="1" applyFont="1" applyBorder="1" applyAlignment="1">
      <alignment horizontal="left" vertical="center"/>
    </xf>
    <xf numFmtId="0" fontId="134" fillId="6" borderId="52" xfId="0" applyFont="1" applyFill="1" applyBorder="1" applyAlignment="1">
      <alignment horizontal="center" vertical="center"/>
    </xf>
    <xf numFmtId="0" fontId="134" fillId="6" borderId="35" xfId="0" applyFont="1" applyFill="1" applyBorder="1" applyAlignment="1">
      <alignment horizontal="center" vertical="center"/>
    </xf>
    <xf numFmtId="3" fontId="134" fillId="0" borderId="53" xfId="0" applyNumberFormat="1" applyFont="1" applyBorder="1" applyAlignment="1">
      <alignment vertical="center"/>
    </xf>
    <xf numFmtId="3" fontId="134" fillId="0" borderId="31" xfId="0" applyNumberFormat="1" applyFont="1" applyBorder="1" applyAlignment="1">
      <alignment vertical="center"/>
    </xf>
    <xf numFmtId="3" fontId="134" fillId="0" borderId="54" xfId="0" applyNumberFormat="1" applyFont="1" applyBorder="1" applyAlignment="1">
      <alignment vertical="center"/>
    </xf>
    <xf numFmtId="3" fontId="134" fillId="0" borderId="27" xfId="0" applyNumberFormat="1" applyFont="1" applyBorder="1" applyAlignment="1">
      <alignment vertical="center"/>
    </xf>
    <xf numFmtId="3" fontId="134" fillId="0" borderId="55" xfId="0" applyNumberFormat="1" applyFont="1" applyBorder="1" applyAlignment="1">
      <alignment vertical="center"/>
    </xf>
    <xf numFmtId="3" fontId="134" fillId="0" borderId="56" xfId="0" applyNumberFormat="1" applyFont="1" applyBorder="1" applyAlignment="1">
      <alignment vertical="center"/>
    </xf>
    <xf numFmtId="3" fontId="134" fillId="10" borderId="57" xfId="0" applyNumberFormat="1" applyFont="1" applyFill="1" applyBorder="1" applyAlignment="1">
      <alignment vertical="center"/>
    </xf>
    <xf numFmtId="3" fontId="134" fillId="10" borderId="41" xfId="0" applyNumberFormat="1" applyFont="1" applyFill="1" applyBorder="1" applyAlignment="1">
      <alignment vertical="center"/>
    </xf>
    <xf numFmtId="3" fontId="134" fillId="33" borderId="53" xfId="0" applyNumberFormat="1" applyFont="1" applyFill="1" applyBorder="1" applyAlignment="1">
      <alignment vertical="center"/>
    </xf>
    <xf numFmtId="3" fontId="134" fillId="33" borderId="31" xfId="0" applyNumberFormat="1" applyFont="1" applyFill="1" applyBorder="1" applyAlignment="1">
      <alignment vertical="center"/>
    </xf>
    <xf numFmtId="3" fontId="134" fillId="33" borderId="55" xfId="0" applyNumberFormat="1" applyFont="1" applyFill="1" applyBorder="1" applyAlignment="1">
      <alignment vertical="center"/>
    </xf>
    <xf numFmtId="3" fontId="134" fillId="33" borderId="56" xfId="0" applyNumberFormat="1" applyFont="1" applyFill="1" applyBorder="1" applyAlignment="1">
      <alignment vertical="center"/>
    </xf>
    <xf numFmtId="3" fontId="134" fillId="10" borderId="58" xfId="0" applyNumberFormat="1" applyFont="1" applyFill="1" applyBorder="1" applyAlignment="1">
      <alignment vertical="center"/>
    </xf>
    <xf numFmtId="3" fontId="134" fillId="10" borderId="59" xfId="0" applyNumberFormat="1" applyFont="1" applyFill="1" applyBorder="1" applyAlignment="1">
      <alignment vertical="center"/>
    </xf>
    <xf numFmtId="9" fontId="134" fillId="32" borderId="57" xfId="60" applyFont="1" applyFill="1" applyBorder="1" applyAlignment="1">
      <alignment vertical="center"/>
    </xf>
    <xf numFmtId="9" fontId="134" fillId="32" borderId="41" xfId="60" applyFont="1" applyFill="1" applyBorder="1" applyAlignment="1">
      <alignment vertical="center"/>
    </xf>
    <xf numFmtId="0" fontId="134" fillId="0" borderId="53" xfId="0" applyFont="1" applyBorder="1" applyAlignment="1">
      <alignment vertical="center"/>
    </xf>
    <xf numFmtId="0" fontId="134" fillId="0" borderId="31" xfId="0" applyFont="1" applyBorder="1" applyAlignment="1">
      <alignment vertical="center"/>
    </xf>
    <xf numFmtId="0" fontId="134" fillId="0" borderId="54" xfId="0" applyFont="1" applyBorder="1" applyAlignment="1">
      <alignment vertical="center"/>
    </xf>
    <xf numFmtId="0" fontId="134" fillId="0" borderId="27" xfId="0" applyFont="1" applyBorder="1" applyAlignment="1">
      <alignment vertical="center"/>
    </xf>
    <xf numFmtId="0" fontId="134" fillId="0" borderId="55" xfId="0" applyFont="1" applyBorder="1" applyAlignment="1">
      <alignment vertical="center"/>
    </xf>
    <xf numFmtId="0" fontId="134" fillId="0" borderId="56" xfId="0" applyFont="1" applyBorder="1" applyAlignment="1">
      <alignment vertical="center"/>
    </xf>
    <xf numFmtId="0" fontId="134" fillId="10" borderId="58" xfId="0" applyFont="1" applyFill="1" applyBorder="1" applyAlignment="1">
      <alignment vertical="center"/>
    </xf>
    <xf numFmtId="0" fontId="134" fillId="10" borderId="59" xfId="0" applyFont="1" applyFill="1" applyBorder="1" applyAlignment="1">
      <alignment vertical="center"/>
    </xf>
    <xf numFmtId="0" fontId="134" fillId="0" borderId="57" xfId="0" applyFont="1" applyBorder="1" applyAlignment="1">
      <alignment vertical="center"/>
    </xf>
    <xf numFmtId="0" fontId="134" fillId="0" borderId="41" xfId="0" applyFont="1" applyBorder="1" applyAlignment="1">
      <alignment vertical="center"/>
    </xf>
    <xf numFmtId="38" fontId="134" fillId="6" borderId="57" xfId="0" applyNumberFormat="1" applyFont="1" applyFill="1" applyBorder="1" applyAlignment="1">
      <alignment vertical="center"/>
    </xf>
    <xf numFmtId="38" fontId="134" fillId="6" borderId="41" xfId="0" applyNumberFormat="1" applyFont="1" applyFill="1" applyBorder="1" applyAlignment="1">
      <alignment vertical="center"/>
    </xf>
    <xf numFmtId="38" fontId="134" fillId="0" borderId="53" xfId="0" applyNumberFormat="1" applyFont="1" applyBorder="1" applyAlignment="1">
      <alignment vertical="center"/>
    </xf>
    <xf numFmtId="38" fontId="134" fillId="0" borderId="31" xfId="0" applyNumberFormat="1" applyFont="1" applyBorder="1" applyAlignment="1">
      <alignment vertical="center"/>
    </xf>
    <xf numFmtId="9" fontId="134" fillId="0" borderId="54" xfId="60" applyFont="1" applyBorder="1" applyAlignment="1">
      <alignment vertical="center"/>
    </xf>
    <xf numFmtId="9" fontId="134" fillId="0" borderId="35" xfId="60" applyFont="1" applyBorder="1" applyAlignment="1">
      <alignment vertical="center"/>
    </xf>
    <xf numFmtId="3" fontId="134" fillId="0" borderId="52" xfId="60" applyNumberFormat="1" applyFont="1" applyBorder="1" applyAlignment="1">
      <alignment vertical="center"/>
    </xf>
    <xf numFmtId="3" fontId="134" fillId="0" borderId="35" xfId="60" applyNumberFormat="1" applyFont="1" applyBorder="1" applyAlignment="1">
      <alignment vertical="center"/>
    </xf>
    <xf numFmtId="0" fontId="134" fillId="0" borderId="60" xfId="0" applyFont="1" applyBorder="1" applyAlignment="1">
      <alignment vertical="center"/>
    </xf>
    <xf numFmtId="0" fontId="134" fillId="0" borderId="61" xfId="0" applyFont="1" applyBorder="1" applyAlignment="1">
      <alignment vertical="center"/>
    </xf>
    <xf numFmtId="0" fontId="134" fillId="0" borderId="50" xfId="0" applyFont="1" applyBorder="1" applyAlignment="1">
      <alignment vertical="center"/>
    </xf>
    <xf numFmtId="0" fontId="0" fillId="0" borderId="0" xfId="0" applyAlignment="1">
      <alignment horizontal="right"/>
    </xf>
    <xf numFmtId="0" fontId="0" fillId="0" borderId="0" xfId="0" applyAlignment="1">
      <alignment vertical="center"/>
    </xf>
    <xf numFmtId="0" fontId="8" fillId="33" borderId="0" xfId="0" applyFont="1" applyFill="1" applyAlignment="1">
      <alignment horizontal="right" vertical="center"/>
    </xf>
    <xf numFmtId="0" fontId="144" fillId="33" borderId="0" xfId="0" applyFont="1" applyFill="1" applyAlignment="1">
      <alignment/>
    </xf>
    <xf numFmtId="0" fontId="144" fillId="33" borderId="62" xfId="0" applyFont="1" applyFill="1" applyBorder="1" applyAlignment="1">
      <alignment/>
    </xf>
    <xf numFmtId="0" fontId="144" fillId="33" borderId="25" xfId="0" applyFont="1" applyFill="1" applyBorder="1" applyAlignment="1">
      <alignment/>
    </xf>
    <xf numFmtId="0" fontId="144" fillId="33" borderId="63" xfId="0" applyFont="1" applyFill="1" applyBorder="1" applyAlignment="1">
      <alignment/>
    </xf>
    <xf numFmtId="38" fontId="5" fillId="33" borderId="64" xfId="0" applyNumberFormat="1" applyFont="1" applyFill="1" applyBorder="1" applyAlignment="1">
      <alignment vertical="center"/>
    </xf>
    <xf numFmtId="38" fontId="5" fillId="33" borderId="65" xfId="0" applyNumberFormat="1" applyFont="1" applyFill="1" applyBorder="1" applyAlignment="1">
      <alignment vertical="center"/>
    </xf>
    <xf numFmtId="38" fontId="5" fillId="33" borderId="66" xfId="0" applyNumberFormat="1" applyFont="1" applyFill="1" applyBorder="1" applyAlignment="1">
      <alignment vertical="center"/>
    </xf>
    <xf numFmtId="38" fontId="5" fillId="33" borderId="37" xfId="0" applyNumberFormat="1" applyFont="1" applyFill="1" applyBorder="1" applyAlignment="1">
      <alignment vertical="center"/>
    </xf>
    <xf numFmtId="9" fontId="137" fillId="33" borderId="20" xfId="60" applyFont="1" applyFill="1" applyBorder="1" applyAlignment="1">
      <alignment vertical="center"/>
    </xf>
    <xf numFmtId="9" fontId="137" fillId="33" borderId="12" xfId="60" applyFont="1" applyFill="1" applyBorder="1" applyAlignment="1">
      <alignment vertical="center"/>
    </xf>
    <xf numFmtId="9" fontId="137" fillId="33" borderId="21" xfId="60" applyFont="1" applyFill="1" applyBorder="1" applyAlignment="1">
      <alignment vertical="center"/>
    </xf>
    <xf numFmtId="3" fontId="137" fillId="33" borderId="20" xfId="60" applyNumberFormat="1" applyFont="1" applyFill="1" applyBorder="1" applyAlignment="1">
      <alignment vertical="center"/>
    </xf>
    <xf numFmtId="3" fontId="137" fillId="33" borderId="67" xfId="60" applyNumberFormat="1" applyFont="1" applyFill="1" applyBorder="1" applyAlignment="1">
      <alignment vertical="center"/>
    </xf>
    <xf numFmtId="3" fontId="137" fillId="33" borderId="12" xfId="60" applyNumberFormat="1" applyFont="1" applyFill="1" applyBorder="1" applyAlignment="1">
      <alignment vertical="center"/>
    </xf>
    <xf numFmtId="3" fontId="137" fillId="33" borderId="21" xfId="60" applyNumberFormat="1" applyFont="1" applyFill="1" applyBorder="1" applyAlignment="1">
      <alignment vertical="center"/>
    </xf>
    <xf numFmtId="38" fontId="5" fillId="6" borderId="44" xfId="0" applyNumberFormat="1" applyFont="1" applyFill="1" applyBorder="1" applyAlignment="1">
      <alignment vertical="center"/>
    </xf>
    <xf numFmtId="38" fontId="5" fillId="6" borderId="11" xfId="0" applyNumberFormat="1" applyFont="1" applyFill="1" applyBorder="1" applyAlignment="1">
      <alignment vertical="center"/>
    </xf>
    <xf numFmtId="0" fontId="137" fillId="6" borderId="20" xfId="0" applyFont="1" applyFill="1" applyBorder="1" applyAlignment="1">
      <alignment vertical="center"/>
    </xf>
    <xf numFmtId="0" fontId="137" fillId="6" borderId="67" xfId="0" applyFont="1" applyFill="1" applyBorder="1" applyAlignment="1">
      <alignment vertical="center"/>
    </xf>
    <xf numFmtId="0" fontId="137" fillId="6" borderId="12" xfId="0" applyFont="1" applyFill="1" applyBorder="1" applyAlignment="1">
      <alignment vertical="center"/>
    </xf>
    <xf numFmtId="0" fontId="137" fillId="6" borderId="21" xfId="0" applyFont="1" applyFill="1" applyBorder="1" applyAlignment="1">
      <alignment vertical="center"/>
    </xf>
    <xf numFmtId="0" fontId="137" fillId="6" borderId="48" xfId="0" applyFont="1" applyFill="1" applyBorder="1" applyAlignment="1">
      <alignment vertical="center"/>
    </xf>
    <xf numFmtId="0" fontId="137" fillId="6" borderId="61" xfId="0" applyFont="1" applyFill="1" applyBorder="1" applyAlignment="1">
      <alignment vertical="center"/>
    </xf>
    <xf numFmtId="0" fontId="127" fillId="33" borderId="0" xfId="56" applyFont="1" applyFill="1" applyAlignment="1">
      <alignment vertical="center"/>
      <protection/>
    </xf>
    <xf numFmtId="0" fontId="4" fillId="33" borderId="0" xfId="56" applyFont="1" applyFill="1" applyAlignment="1">
      <alignment horizontal="center" vertical="center"/>
      <protection/>
    </xf>
    <xf numFmtId="0" fontId="4" fillId="0" borderId="0" xfId="56" applyFont="1" applyAlignment="1">
      <alignment horizontal="center" vertical="center"/>
      <protection/>
    </xf>
    <xf numFmtId="0" fontId="135" fillId="0" borderId="0" xfId="0" applyFont="1" applyBorder="1" applyAlignment="1">
      <alignment vertical="center"/>
    </xf>
    <xf numFmtId="0" fontId="144" fillId="34" borderId="46" xfId="0" applyFont="1" applyFill="1" applyBorder="1" applyAlignment="1">
      <alignment horizontal="center" vertical="center" wrapText="1"/>
    </xf>
    <xf numFmtId="0" fontId="144" fillId="34" borderId="68" xfId="0" applyFont="1" applyFill="1" applyBorder="1" applyAlignment="1">
      <alignment horizontal="center" vertical="center" wrapText="1"/>
    </xf>
    <xf numFmtId="38" fontId="5" fillId="6" borderId="30" xfId="0" applyNumberFormat="1" applyFont="1" applyFill="1" applyBorder="1" applyAlignment="1">
      <alignment vertical="center"/>
    </xf>
    <xf numFmtId="0" fontId="137" fillId="6" borderId="49" xfId="0" applyFont="1" applyFill="1" applyBorder="1" applyAlignment="1">
      <alignment vertical="center"/>
    </xf>
    <xf numFmtId="3" fontId="27" fillId="33" borderId="0" xfId="0" applyNumberFormat="1" applyFont="1" applyFill="1" applyAlignment="1">
      <alignment horizontal="center"/>
    </xf>
    <xf numFmtId="0" fontId="14" fillId="0" borderId="36" xfId="0" applyFont="1" applyBorder="1" applyAlignment="1">
      <alignment vertical="center"/>
    </xf>
    <xf numFmtId="0" fontId="134" fillId="0" borderId="66" xfId="0" applyFont="1" applyBorder="1" applyAlignment="1">
      <alignment vertical="center"/>
    </xf>
    <xf numFmtId="0" fontId="134" fillId="35" borderId="69" xfId="0" applyFont="1" applyFill="1" applyBorder="1" applyAlignment="1">
      <alignment vertical="center"/>
    </xf>
    <xf numFmtId="3" fontId="27" fillId="33" borderId="0" xfId="0" applyNumberFormat="1" applyFont="1" applyFill="1" applyAlignment="1">
      <alignment horizontal="center"/>
    </xf>
    <xf numFmtId="0" fontId="4" fillId="7" borderId="70" xfId="56" applyFont="1" applyFill="1" applyBorder="1" applyAlignment="1">
      <alignment horizontal="center" vertical="center" wrapText="1" readingOrder="2"/>
      <protection/>
    </xf>
    <xf numFmtId="0" fontId="4" fillId="7" borderId="71" xfId="56" applyFont="1" applyFill="1" applyBorder="1" applyAlignment="1">
      <alignment horizontal="center" vertical="center" wrapText="1" readingOrder="2"/>
      <protection/>
    </xf>
    <xf numFmtId="0" fontId="4" fillId="7" borderId="72" xfId="56" applyFont="1" applyFill="1" applyBorder="1" applyAlignment="1">
      <alignment horizontal="center" vertical="center" wrapText="1" readingOrder="2"/>
      <protection/>
    </xf>
    <xf numFmtId="0" fontId="4" fillId="7" borderId="71" xfId="56" applyFont="1" applyFill="1" applyBorder="1" applyAlignment="1">
      <alignment horizontal="center" vertical="center" wrapText="1"/>
      <protection/>
    </xf>
    <xf numFmtId="0" fontId="4" fillId="7" borderId="73" xfId="56" applyFont="1" applyFill="1" applyBorder="1" applyAlignment="1">
      <alignment horizontal="center" vertical="center" wrapText="1"/>
      <protection/>
    </xf>
    <xf numFmtId="167" fontId="5" fillId="33" borderId="0" xfId="0" applyNumberFormat="1" applyFont="1" applyFill="1" applyAlignment="1">
      <alignment horizontal="right" vertical="center" wrapText="1" readingOrder="2"/>
    </xf>
    <xf numFmtId="0" fontId="4" fillId="7" borderId="70" xfId="56" applyFont="1" applyFill="1" applyBorder="1" applyAlignment="1">
      <alignment horizontal="center" vertical="center" wrapText="1"/>
      <protection/>
    </xf>
    <xf numFmtId="0" fontId="4" fillId="7" borderId="74" xfId="56" applyFont="1" applyFill="1" applyBorder="1" applyAlignment="1">
      <alignment horizontal="center" vertical="center" wrapText="1"/>
      <protection/>
    </xf>
    <xf numFmtId="0" fontId="4" fillId="7" borderId="75" xfId="56" applyFont="1" applyFill="1" applyBorder="1" applyAlignment="1">
      <alignment horizontal="center" vertical="center" wrapText="1"/>
      <protection/>
    </xf>
    <xf numFmtId="0" fontId="4" fillId="7" borderId="76" xfId="56" applyFont="1" applyFill="1" applyBorder="1" applyAlignment="1">
      <alignment horizontal="center" vertical="center" wrapText="1"/>
      <protection/>
    </xf>
    <xf numFmtId="0" fontId="150" fillId="0" borderId="63" xfId="0" applyFont="1" applyFill="1" applyBorder="1" applyAlignment="1">
      <alignment horizontal="center" vertical="center"/>
    </xf>
    <xf numFmtId="0" fontId="150" fillId="0" borderId="77" xfId="0" applyFont="1" applyFill="1" applyBorder="1" applyAlignment="1">
      <alignment horizontal="center" vertical="center"/>
    </xf>
    <xf numFmtId="0" fontId="150" fillId="0" borderId="78" xfId="0" applyFont="1" applyFill="1" applyBorder="1" applyAlignment="1">
      <alignment horizontal="center" vertical="center"/>
    </xf>
    <xf numFmtId="0" fontId="150" fillId="0" borderId="62" xfId="0" applyFont="1" applyFill="1" applyBorder="1" applyAlignment="1">
      <alignment horizontal="center" vertical="center"/>
    </xf>
    <xf numFmtId="3" fontId="151" fillId="33" borderId="79" xfId="56" applyNumberFormat="1" applyFont="1" applyFill="1" applyBorder="1" applyAlignment="1">
      <alignment horizontal="center" vertical="center" wrapText="1"/>
      <protection/>
    </xf>
    <xf numFmtId="10" fontId="138" fillId="0" borderId="26" xfId="56" applyNumberFormat="1" applyFont="1" applyFill="1" applyBorder="1" applyAlignment="1">
      <alignment horizontal="center" vertical="center" wrapText="1"/>
      <protection/>
    </xf>
    <xf numFmtId="0" fontId="152" fillId="33" borderId="79" xfId="56" applyFont="1" applyFill="1" applyBorder="1" applyAlignment="1">
      <alignment horizontal="center" vertical="center" wrapText="1"/>
      <protection/>
    </xf>
    <xf numFmtId="10" fontId="153" fillId="0" borderId="26" xfId="56" applyNumberFormat="1" applyFont="1" applyFill="1" applyBorder="1" applyAlignment="1">
      <alignment horizontal="center" vertical="center" wrapText="1"/>
      <protection/>
    </xf>
    <xf numFmtId="0" fontId="152" fillId="33" borderId="26" xfId="56" applyFont="1" applyFill="1" applyBorder="1" applyAlignment="1">
      <alignment horizontal="center" vertical="center" wrapText="1"/>
      <protection/>
    </xf>
    <xf numFmtId="0" fontId="151" fillId="33" borderId="26" xfId="56" applyFont="1" applyFill="1" applyBorder="1" applyAlignment="1">
      <alignment horizontal="center" vertical="center" wrapText="1"/>
      <protection/>
    </xf>
    <xf numFmtId="0" fontId="127" fillId="33" borderId="80" xfId="56" applyFont="1" applyFill="1" applyBorder="1" applyAlignment="1">
      <alignment horizontal="center" vertical="center"/>
      <protection/>
    </xf>
    <xf numFmtId="3" fontId="154" fillId="6" borderId="81" xfId="56" applyNumberFormat="1" applyFont="1" applyFill="1" applyBorder="1" applyAlignment="1">
      <alignment horizontal="center" vertical="center" wrapText="1"/>
      <protection/>
    </xf>
    <xf numFmtId="0" fontId="141" fillId="0" borderId="78" xfId="0" applyFont="1" applyFill="1" applyBorder="1" applyAlignment="1">
      <alignment horizontal="center" vertical="center"/>
    </xf>
    <xf numFmtId="0" fontId="151" fillId="33" borderId="79" xfId="56" applyFont="1" applyFill="1" applyBorder="1" applyAlignment="1">
      <alignment horizontal="center" vertical="center" wrapText="1"/>
      <protection/>
    </xf>
    <xf numFmtId="0" fontId="153" fillId="0" borderId="63" xfId="56" applyFont="1" applyFill="1" applyBorder="1" applyAlignment="1">
      <alignment horizontal="center" vertical="center" wrapText="1"/>
      <protection/>
    </xf>
    <xf numFmtId="0" fontId="153" fillId="0" borderId="78" xfId="56" applyFont="1" applyFill="1" applyBorder="1" applyAlignment="1">
      <alignment horizontal="center" vertical="center" wrapText="1"/>
      <protection/>
    </xf>
    <xf numFmtId="3" fontId="138" fillId="0" borderId="78" xfId="56" applyNumberFormat="1" applyFont="1" applyFill="1" applyBorder="1" applyAlignment="1">
      <alignment horizontal="center" vertical="center" wrapText="1"/>
      <protection/>
    </xf>
    <xf numFmtId="0" fontId="153" fillId="0" borderId="63" xfId="0" applyFont="1" applyFill="1" applyBorder="1" applyAlignment="1">
      <alignment horizontal="center" vertical="center"/>
    </xf>
    <xf numFmtId="0" fontId="153" fillId="0" borderId="77" xfId="0" applyFont="1" applyFill="1" applyBorder="1" applyAlignment="1">
      <alignment horizontal="center" vertical="center"/>
    </xf>
    <xf numFmtId="0" fontId="153" fillId="0" borderId="78" xfId="0" applyFont="1" applyFill="1" applyBorder="1" applyAlignment="1">
      <alignment horizontal="center" vertical="center"/>
    </xf>
    <xf numFmtId="3" fontId="153" fillId="0" borderId="78" xfId="56" applyNumberFormat="1" applyFont="1" applyFill="1" applyBorder="1" applyAlignment="1">
      <alignment horizontal="center" vertical="center" wrapText="1"/>
      <protection/>
    </xf>
    <xf numFmtId="3" fontId="153" fillId="0" borderId="63" xfId="56" applyNumberFormat="1" applyFont="1" applyFill="1" applyBorder="1" applyAlignment="1">
      <alignment horizontal="center" vertical="center" wrapText="1"/>
      <protection/>
    </xf>
    <xf numFmtId="0" fontId="142" fillId="0" borderId="78" xfId="56" applyFont="1" applyFill="1" applyBorder="1" applyAlignment="1">
      <alignment horizontal="center" vertical="center" wrapText="1"/>
      <protection/>
    </xf>
    <xf numFmtId="0" fontId="152" fillId="0" borderId="26" xfId="56" applyFont="1" applyFill="1" applyBorder="1" applyAlignment="1">
      <alignment horizontal="center" vertical="center" wrapText="1"/>
      <protection/>
    </xf>
    <xf numFmtId="3" fontId="151" fillId="0" borderId="26" xfId="56" applyNumberFormat="1" applyFont="1" applyFill="1" applyBorder="1" applyAlignment="1">
      <alignment horizontal="center" vertical="center" wrapText="1"/>
      <protection/>
    </xf>
    <xf numFmtId="0" fontId="151" fillId="0" borderId="26" xfId="56" applyFont="1" applyFill="1" applyBorder="1" applyAlignment="1">
      <alignment horizontal="center" vertical="center" wrapText="1"/>
      <protection/>
    </xf>
    <xf numFmtId="3" fontId="152" fillId="0" borderId="26" xfId="56" applyNumberFormat="1" applyFont="1" applyFill="1" applyBorder="1" applyAlignment="1">
      <alignment horizontal="center" vertical="center" wrapText="1"/>
      <protection/>
    </xf>
    <xf numFmtId="10" fontId="152" fillId="0" borderId="26" xfId="56" applyNumberFormat="1" applyFont="1" applyFill="1" applyBorder="1" applyAlignment="1">
      <alignment horizontal="center" vertical="center" wrapText="1"/>
      <protection/>
    </xf>
    <xf numFmtId="10" fontId="151" fillId="0" borderId="82" xfId="56" applyNumberFormat="1" applyFont="1" applyFill="1" applyBorder="1" applyAlignment="1">
      <alignment horizontal="center" vertical="center" wrapText="1"/>
      <protection/>
    </xf>
    <xf numFmtId="3" fontId="152" fillId="0" borderId="82" xfId="56" applyNumberFormat="1" applyFont="1" applyFill="1" applyBorder="1" applyAlignment="1">
      <alignment horizontal="center" vertical="center" wrapText="1"/>
      <protection/>
    </xf>
    <xf numFmtId="3" fontId="151" fillId="0" borderId="78" xfId="56" applyNumberFormat="1" applyFont="1" applyFill="1" applyBorder="1" applyAlignment="1">
      <alignment horizontal="center" vertical="center" wrapText="1"/>
      <protection/>
    </xf>
    <xf numFmtId="3" fontId="151" fillId="0" borderId="45" xfId="56" applyNumberFormat="1" applyFont="1" applyFill="1" applyBorder="1" applyAlignment="1">
      <alignment horizontal="center" vertical="center" wrapText="1"/>
      <protection/>
    </xf>
    <xf numFmtId="3" fontId="152" fillId="0" borderId="40" xfId="56" applyNumberFormat="1" applyFont="1" applyFill="1" applyBorder="1" applyAlignment="1">
      <alignment horizontal="center" vertical="center" wrapText="1"/>
      <protection/>
    </xf>
    <xf numFmtId="0" fontId="151" fillId="0" borderId="40" xfId="56" applyFont="1" applyFill="1" applyBorder="1" applyAlignment="1">
      <alignment horizontal="center" vertical="center" wrapText="1"/>
      <protection/>
    </xf>
    <xf numFmtId="0" fontId="151" fillId="0" borderId="82" xfId="56" applyFont="1" applyFill="1" applyBorder="1" applyAlignment="1">
      <alignment horizontal="center" vertical="center" wrapText="1"/>
      <protection/>
    </xf>
    <xf numFmtId="0" fontId="152" fillId="0" borderId="83" xfId="56" applyFont="1" applyFill="1" applyBorder="1" applyAlignment="1">
      <alignment horizontal="center" vertical="center" wrapText="1"/>
      <protection/>
    </xf>
    <xf numFmtId="0" fontId="152" fillId="0" borderId="82" xfId="56" applyFont="1" applyFill="1" applyBorder="1" applyAlignment="1">
      <alignment horizontal="center" vertical="center" wrapText="1"/>
      <protection/>
    </xf>
    <xf numFmtId="0" fontId="151" fillId="0" borderId="78" xfId="56" applyFont="1" applyFill="1" applyBorder="1" applyAlignment="1">
      <alignment horizontal="center" vertical="center" wrapText="1"/>
      <protection/>
    </xf>
    <xf numFmtId="0" fontId="151" fillId="0" borderId="45" xfId="56" applyFont="1" applyFill="1" applyBorder="1" applyAlignment="1">
      <alignment horizontal="center" vertical="center" wrapText="1"/>
      <protection/>
    </xf>
    <xf numFmtId="3" fontId="151" fillId="0" borderId="40" xfId="56" applyNumberFormat="1" applyFont="1" applyFill="1" applyBorder="1" applyAlignment="1">
      <alignment horizontal="center" vertical="center" wrapText="1"/>
      <protection/>
    </xf>
    <xf numFmtId="3" fontId="130" fillId="0" borderId="0" xfId="56" applyNumberFormat="1" applyFont="1" applyAlignment="1">
      <alignment horizontal="center" vertical="center"/>
      <protection/>
    </xf>
    <xf numFmtId="0" fontId="8" fillId="33" borderId="0" xfId="0" applyFont="1" applyFill="1" applyAlignment="1">
      <alignment horizontal="right" vertical="center"/>
    </xf>
    <xf numFmtId="0" fontId="8" fillId="33" borderId="0" xfId="0" applyFont="1" applyFill="1" applyAlignment="1">
      <alignment horizontal="right" vertical="center"/>
    </xf>
    <xf numFmtId="0" fontId="32" fillId="33" borderId="0" xfId="0" applyFont="1" applyFill="1" applyAlignment="1">
      <alignment vertical="center"/>
    </xf>
    <xf numFmtId="0" fontId="34" fillId="33" borderId="0" xfId="0" applyFont="1" applyFill="1" applyAlignment="1">
      <alignment vertical="center"/>
    </xf>
    <xf numFmtId="38" fontId="5" fillId="6" borderId="44" xfId="0" applyNumberFormat="1" applyFont="1" applyFill="1" applyBorder="1" applyAlignment="1">
      <alignment horizontal="center" vertical="center"/>
    </xf>
    <xf numFmtId="38" fontId="5" fillId="6" borderId="11" xfId="0" applyNumberFormat="1" applyFont="1" applyFill="1" applyBorder="1" applyAlignment="1">
      <alignment horizontal="center" vertical="center"/>
    </xf>
    <xf numFmtId="38" fontId="5" fillId="6" borderId="30" xfId="0" applyNumberFormat="1" applyFont="1" applyFill="1" applyBorder="1" applyAlignment="1">
      <alignment horizontal="center" vertical="center"/>
    </xf>
    <xf numFmtId="38" fontId="5" fillId="33" borderId="64" xfId="0" applyNumberFormat="1" applyFont="1" applyFill="1" applyBorder="1" applyAlignment="1">
      <alignment horizontal="center" vertical="center"/>
    </xf>
    <xf numFmtId="38" fontId="5" fillId="33" borderId="66" xfId="0" applyNumberFormat="1" applyFont="1" applyFill="1" applyBorder="1" applyAlignment="1">
      <alignment horizontal="center" vertical="center"/>
    </xf>
    <xf numFmtId="38" fontId="5" fillId="33" borderId="37" xfId="0" applyNumberFormat="1" applyFont="1" applyFill="1" applyBorder="1" applyAlignment="1">
      <alignment horizontal="center" vertical="center"/>
    </xf>
    <xf numFmtId="9" fontId="137" fillId="33" borderId="20" xfId="60" applyFont="1" applyFill="1" applyBorder="1" applyAlignment="1">
      <alignment horizontal="center" vertical="center"/>
    </xf>
    <xf numFmtId="9" fontId="137" fillId="33" borderId="12" xfId="60" applyFont="1" applyFill="1" applyBorder="1" applyAlignment="1">
      <alignment horizontal="center" vertical="center"/>
    </xf>
    <xf numFmtId="9" fontId="137" fillId="33" borderId="21" xfId="60" applyFont="1" applyFill="1" applyBorder="1" applyAlignment="1">
      <alignment horizontal="center" vertical="center"/>
    </xf>
    <xf numFmtId="3" fontId="137" fillId="33" borderId="20" xfId="60" applyNumberFormat="1" applyFont="1" applyFill="1" applyBorder="1" applyAlignment="1">
      <alignment horizontal="center" vertical="center"/>
    </xf>
    <xf numFmtId="3" fontId="137" fillId="33" borderId="12" xfId="60" applyNumberFormat="1" applyFont="1" applyFill="1" applyBorder="1" applyAlignment="1">
      <alignment horizontal="center" vertical="center"/>
    </xf>
    <xf numFmtId="3" fontId="137" fillId="33" borderId="21" xfId="60" applyNumberFormat="1" applyFont="1" applyFill="1" applyBorder="1" applyAlignment="1">
      <alignment horizontal="center" vertical="center"/>
    </xf>
    <xf numFmtId="3" fontId="151" fillId="0" borderId="79" xfId="56" applyNumberFormat="1" applyFont="1" applyFill="1" applyBorder="1" applyAlignment="1">
      <alignment horizontal="center" vertical="center" wrapText="1"/>
      <protection/>
    </xf>
    <xf numFmtId="3" fontId="152" fillId="0" borderId="79" xfId="56" applyNumberFormat="1" applyFont="1" applyFill="1" applyBorder="1" applyAlignment="1">
      <alignment horizontal="center" vertical="center" wrapText="1"/>
      <protection/>
    </xf>
    <xf numFmtId="10" fontId="151" fillId="0" borderId="79" xfId="56" applyNumberFormat="1" applyFont="1" applyFill="1" applyBorder="1" applyAlignment="1">
      <alignment horizontal="center" vertical="center" wrapText="1"/>
      <protection/>
    </xf>
    <xf numFmtId="10" fontId="151" fillId="0" borderId="84" xfId="56" applyNumberFormat="1" applyFont="1" applyFill="1" applyBorder="1" applyAlignment="1">
      <alignment horizontal="center" vertical="center" wrapText="1"/>
      <protection/>
    </xf>
    <xf numFmtId="3" fontId="152" fillId="0" borderId="84" xfId="56" applyNumberFormat="1" applyFont="1" applyFill="1" applyBorder="1" applyAlignment="1">
      <alignment horizontal="center" vertical="center" wrapText="1"/>
      <protection/>
    </xf>
    <xf numFmtId="3" fontId="155" fillId="0" borderId="84" xfId="56" applyNumberFormat="1" applyFont="1" applyFill="1" applyBorder="1" applyAlignment="1">
      <alignment horizontal="center" vertical="center" wrapText="1"/>
      <protection/>
    </xf>
    <xf numFmtId="3" fontId="151" fillId="0" borderId="63" xfId="56" applyNumberFormat="1" applyFont="1" applyFill="1" applyBorder="1" applyAlignment="1">
      <alignment horizontal="center" vertical="center" wrapText="1"/>
      <protection/>
    </xf>
    <xf numFmtId="3" fontId="151" fillId="0" borderId="85" xfId="56" applyNumberFormat="1" applyFont="1" applyFill="1" applyBorder="1" applyAlignment="1">
      <alignment horizontal="center" vertical="center" wrapText="1"/>
      <protection/>
    </xf>
    <xf numFmtId="3" fontId="151" fillId="0" borderId="84" xfId="56" applyNumberFormat="1" applyFont="1" applyFill="1" applyBorder="1" applyAlignment="1">
      <alignment horizontal="center" vertical="center" wrapText="1"/>
      <protection/>
    </xf>
    <xf numFmtId="0" fontId="151" fillId="0" borderId="84" xfId="56" applyFont="1" applyFill="1" applyBorder="1" applyAlignment="1">
      <alignment horizontal="center" vertical="center" wrapText="1"/>
      <protection/>
    </xf>
    <xf numFmtId="3" fontId="151" fillId="0" borderId="86" xfId="56" applyNumberFormat="1" applyFont="1" applyFill="1" applyBorder="1" applyAlignment="1">
      <alignment horizontal="center" vertical="center" wrapText="1"/>
      <protection/>
    </xf>
    <xf numFmtId="3" fontId="155" fillId="0" borderId="86" xfId="56" applyNumberFormat="1" applyFont="1" applyFill="1" applyBorder="1" applyAlignment="1">
      <alignment horizontal="center" vertical="center" wrapText="1"/>
      <protection/>
    </xf>
    <xf numFmtId="10" fontId="152" fillId="0" borderId="79" xfId="56" applyNumberFormat="1" applyFont="1" applyFill="1" applyBorder="1" applyAlignment="1">
      <alignment horizontal="center" vertical="center" wrapText="1"/>
      <protection/>
    </xf>
    <xf numFmtId="3" fontId="152" fillId="0" borderId="85" xfId="56" applyNumberFormat="1" applyFont="1" applyFill="1" applyBorder="1" applyAlignment="1">
      <alignment horizontal="center" vertical="center" wrapText="1"/>
      <protection/>
    </xf>
    <xf numFmtId="3" fontId="152" fillId="0" borderId="86" xfId="56" applyNumberFormat="1" applyFont="1" applyFill="1" applyBorder="1" applyAlignment="1">
      <alignment horizontal="center" vertical="center" wrapText="1"/>
      <protection/>
    </xf>
    <xf numFmtId="3" fontId="152" fillId="0" borderId="83" xfId="56" applyNumberFormat="1" applyFont="1" applyFill="1" applyBorder="1" applyAlignment="1">
      <alignment horizontal="center" vertical="center" wrapText="1"/>
      <protection/>
    </xf>
    <xf numFmtId="0" fontId="15" fillId="33" borderId="23" xfId="0" applyFont="1" applyFill="1" applyBorder="1" applyAlignment="1">
      <alignment horizontal="center" vertical="center"/>
    </xf>
    <xf numFmtId="0" fontId="4" fillId="7" borderId="72" xfId="56" applyFont="1" applyFill="1" applyBorder="1" applyAlignment="1">
      <alignment horizontal="center" vertical="center" wrapText="1"/>
      <protection/>
    </xf>
    <xf numFmtId="0" fontId="144" fillId="34" borderId="19" xfId="0" applyFont="1" applyFill="1" applyBorder="1" applyAlignment="1">
      <alignment horizontal="center" vertical="center"/>
    </xf>
    <xf numFmtId="0" fontId="40" fillId="0" borderId="0" xfId="0" applyFont="1" applyAlignment="1">
      <alignment/>
    </xf>
    <xf numFmtId="3" fontId="41" fillId="33" borderId="0" xfId="0" applyNumberFormat="1" applyFont="1" applyFill="1" applyAlignment="1">
      <alignment/>
    </xf>
    <xf numFmtId="49" fontId="22" fillId="0" borderId="0" xfId="56" applyNumberFormat="1" applyFont="1" applyFill="1" applyAlignment="1">
      <alignment horizontal="right" vertical="center" readingOrder="2"/>
      <protection/>
    </xf>
    <xf numFmtId="0" fontId="156" fillId="0" borderId="0" xfId="56" applyFont="1" applyFill="1" applyAlignment="1">
      <alignment horizontal="center" vertical="center" readingOrder="2"/>
      <protection/>
    </xf>
    <xf numFmtId="0" fontId="157" fillId="0" borderId="0" xfId="56" applyFont="1" applyFill="1" applyAlignment="1">
      <alignment horizontal="right" vertical="center" readingOrder="2"/>
      <protection/>
    </xf>
    <xf numFmtId="0" fontId="156" fillId="0" borderId="0" xfId="56" applyFont="1" applyFill="1" applyAlignment="1">
      <alignment horizontal="right" vertical="center" readingOrder="2"/>
      <protection/>
    </xf>
    <xf numFmtId="0" fontId="158" fillId="0" borderId="0" xfId="56" applyFont="1" applyFill="1" applyAlignment="1">
      <alignment horizontal="right" vertical="center" readingOrder="2"/>
      <protection/>
    </xf>
    <xf numFmtId="0" fontId="10" fillId="0" borderId="0" xfId="56" applyFont="1" applyFill="1" applyAlignment="1">
      <alignment vertical="center" readingOrder="2"/>
      <protection/>
    </xf>
    <xf numFmtId="0" fontId="9" fillId="0" borderId="0" xfId="56" applyFont="1" applyFill="1" applyBorder="1" applyAlignment="1">
      <alignment horizontal="right" vertical="center" readingOrder="2"/>
      <protection/>
    </xf>
    <xf numFmtId="0" fontId="9" fillId="0" borderId="0" xfId="56" applyFont="1" applyFill="1" applyAlignment="1">
      <alignment vertical="center" readingOrder="2"/>
      <protection/>
    </xf>
    <xf numFmtId="0" fontId="22" fillId="0" borderId="0" xfId="56" applyFont="1" applyFill="1" applyAlignment="1">
      <alignment vertical="center" readingOrder="2"/>
      <protection/>
    </xf>
    <xf numFmtId="49" fontId="22" fillId="0" borderId="0" xfId="56" applyNumberFormat="1" applyFont="1" applyFill="1" applyBorder="1" applyAlignment="1">
      <alignment horizontal="right" vertical="center" readingOrder="2"/>
      <protection/>
    </xf>
    <xf numFmtId="0" fontId="43" fillId="0" borderId="0" xfId="56" applyFont="1" applyFill="1" applyBorder="1" applyAlignment="1">
      <alignment horizontal="right" vertical="center" readingOrder="2"/>
      <protection/>
    </xf>
    <xf numFmtId="49" fontId="38" fillId="0" borderId="0" xfId="56" applyNumberFormat="1" applyFont="1" applyFill="1" applyBorder="1" applyAlignment="1">
      <alignment horizontal="right" vertical="center" readingOrder="2"/>
      <protection/>
    </xf>
    <xf numFmtId="0" fontId="22" fillId="0" borderId="0" xfId="56" applyFont="1" applyFill="1" applyBorder="1" applyAlignment="1">
      <alignment horizontal="right" vertical="center" readingOrder="2"/>
      <protection/>
    </xf>
    <xf numFmtId="0" fontId="38" fillId="0" borderId="0" xfId="56" applyFont="1" applyFill="1" applyBorder="1" applyAlignment="1">
      <alignment horizontal="center" vertical="center" readingOrder="2"/>
      <protection/>
    </xf>
    <xf numFmtId="0" fontId="43" fillId="0" borderId="0" xfId="56" applyFont="1" applyFill="1" applyAlignment="1">
      <alignment horizontal="center" vertical="center" readingOrder="2"/>
      <protection/>
    </xf>
    <xf numFmtId="0" fontId="43" fillId="0" borderId="0" xfId="56" applyFont="1" applyFill="1" applyBorder="1" applyAlignment="1">
      <alignment horizontal="center" vertical="center" readingOrder="2"/>
      <protection/>
    </xf>
    <xf numFmtId="0" fontId="9" fillId="0" borderId="0" xfId="56" applyFont="1" applyFill="1" applyAlignment="1">
      <alignment horizontal="center" vertical="center" readingOrder="2"/>
      <protection/>
    </xf>
    <xf numFmtId="49" fontId="20" fillId="0" borderId="0" xfId="56" applyNumberFormat="1" applyFont="1" applyFill="1" applyBorder="1" applyAlignment="1">
      <alignment horizontal="right" vertical="center" readingOrder="2"/>
      <protection/>
    </xf>
    <xf numFmtId="0" fontId="44" fillId="0" borderId="0" xfId="56" applyFont="1" applyFill="1" applyBorder="1" applyAlignment="1">
      <alignment horizontal="right" vertical="center" readingOrder="2"/>
      <protection/>
    </xf>
    <xf numFmtId="0" fontId="20" fillId="0" borderId="0" xfId="56" applyFont="1" applyFill="1" applyAlignment="1">
      <alignment vertical="center" readingOrder="2"/>
      <protection/>
    </xf>
    <xf numFmtId="0" fontId="44" fillId="0" borderId="0" xfId="56" applyFont="1" applyFill="1" applyBorder="1" applyAlignment="1">
      <alignment horizontal="center" vertical="center" readingOrder="2"/>
      <protection/>
    </xf>
    <xf numFmtId="0" fontId="44" fillId="0" borderId="0" xfId="56" applyFont="1" applyFill="1" applyAlignment="1">
      <alignment horizontal="center" vertical="center" readingOrder="2"/>
      <protection/>
    </xf>
    <xf numFmtId="0" fontId="44" fillId="0" borderId="25" xfId="56" applyFont="1" applyFill="1" applyBorder="1" applyAlignment="1">
      <alignment horizontal="center" vertical="center" wrapText="1" readingOrder="2"/>
      <protection/>
    </xf>
    <xf numFmtId="0" fontId="44" fillId="0" borderId="25" xfId="56" applyFont="1" applyFill="1" applyBorder="1" applyAlignment="1">
      <alignment horizontal="center" vertical="center" readingOrder="2"/>
      <protection/>
    </xf>
    <xf numFmtId="0" fontId="44" fillId="0" borderId="0" xfId="56" applyFont="1" applyFill="1" applyBorder="1" applyAlignment="1">
      <alignment vertical="center" readingOrder="2"/>
      <protection/>
    </xf>
    <xf numFmtId="0" fontId="43" fillId="0" borderId="0" xfId="56" applyFont="1" applyFill="1" applyBorder="1" applyAlignment="1">
      <alignment vertical="center" readingOrder="2"/>
      <protection/>
    </xf>
    <xf numFmtId="0" fontId="38" fillId="0" borderId="0" xfId="56" applyFont="1" applyFill="1" applyAlignment="1">
      <alignment horizontal="center" vertical="center" readingOrder="2"/>
      <protection/>
    </xf>
    <xf numFmtId="49" fontId="20" fillId="0" borderId="0" xfId="56" applyNumberFormat="1" applyFont="1" applyFill="1" applyAlignment="1">
      <alignment horizontal="right" vertical="center" readingOrder="2"/>
      <protection/>
    </xf>
    <xf numFmtId="49" fontId="9" fillId="0" borderId="0" xfId="56" applyNumberFormat="1" applyFont="1" applyFill="1" applyAlignment="1">
      <alignment horizontal="right" vertical="center" readingOrder="2"/>
      <protection/>
    </xf>
    <xf numFmtId="0" fontId="43" fillId="0" borderId="0" xfId="0" applyFont="1" applyAlignment="1">
      <alignment/>
    </xf>
    <xf numFmtId="0" fontId="20" fillId="0" borderId="0" xfId="56" applyFont="1" applyFill="1" applyBorder="1" applyAlignment="1">
      <alignment horizontal="right" vertical="center" readingOrder="2"/>
      <protection/>
    </xf>
    <xf numFmtId="0" fontId="45" fillId="0" borderId="0" xfId="56" applyFont="1" applyFill="1" applyBorder="1" applyAlignment="1">
      <alignment horizontal="right" vertical="center" readingOrder="2"/>
      <protection/>
    </xf>
    <xf numFmtId="0" fontId="142" fillId="0" borderId="63" xfId="56" applyFont="1" applyFill="1" applyBorder="1" applyAlignment="1">
      <alignment horizontal="center" vertical="center" wrapText="1"/>
      <protection/>
    </xf>
    <xf numFmtId="3" fontId="152" fillId="33" borderId="79" xfId="56" applyNumberFormat="1" applyFont="1" applyFill="1" applyBorder="1" applyAlignment="1">
      <alignment horizontal="center" vertical="center" wrapText="1"/>
      <protection/>
    </xf>
    <xf numFmtId="3" fontId="152" fillId="33" borderId="26" xfId="56" applyNumberFormat="1" applyFont="1" applyFill="1" applyBorder="1" applyAlignment="1">
      <alignment horizontal="center" vertical="center" wrapText="1"/>
      <protection/>
    </xf>
    <xf numFmtId="3" fontId="127" fillId="0" borderId="0" xfId="56" applyNumberFormat="1" applyFont="1" applyAlignment="1">
      <alignment horizontal="center" vertical="center"/>
      <protection/>
    </xf>
    <xf numFmtId="3" fontId="127" fillId="33" borderId="0" xfId="56" applyNumberFormat="1" applyFont="1" applyFill="1" applyAlignment="1">
      <alignment horizontal="center" vertical="center"/>
      <protection/>
    </xf>
    <xf numFmtId="3" fontId="127" fillId="33" borderId="0" xfId="56" applyNumberFormat="1" applyFont="1" applyFill="1" applyAlignment="1">
      <alignment vertical="center"/>
      <protection/>
    </xf>
    <xf numFmtId="3" fontId="4" fillId="7" borderId="72" xfId="56" applyNumberFormat="1" applyFont="1" applyFill="1" applyBorder="1" applyAlignment="1">
      <alignment horizontal="center" vertical="center" wrapText="1"/>
      <protection/>
    </xf>
    <xf numFmtId="0" fontId="4" fillId="7" borderId="72" xfId="56" applyFont="1" applyFill="1" applyBorder="1" applyAlignment="1">
      <alignment vertical="center" wrapText="1"/>
      <protection/>
    </xf>
    <xf numFmtId="0" fontId="15" fillId="33" borderId="0" xfId="0" applyFont="1" applyFill="1" applyBorder="1" applyAlignment="1">
      <alignment horizontal="center" vertical="center"/>
    </xf>
    <xf numFmtId="0" fontId="46" fillId="33" borderId="0" xfId="0" applyFont="1" applyFill="1" applyBorder="1" applyAlignment="1">
      <alignment horizontal="right" vertical="center"/>
    </xf>
    <xf numFmtId="0" fontId="150" fillId="0" borderId="26" xfId="0" applyFont="1" applyFill="1" applyBorder="1" applyAlignment="1">
      <alignment horizontal="center" vertical="center"/>
    </xf>
    <xf numFmtId="10" fontId="142" fillId="0" borderId="63" xfId="56" applyNumberFormat="1" applyFont="1" applyFill="1" applyBorder="1" applyAlignment="1">
      <alignment horizontal="center" vertical="center" wrapText="1"/>
      <protection/>
    </xf>
    <xf numFmtId="10" fontId="153" fillId="0" borderId="63" xfId="56" applyNumberFormat="1" applyFont="1" applyFill="1" applyBorder="1" applyAlignment="1">
      <alignment horizontal="center" vertical="center" wrapText="1"/>
      <protection/>
    </xf>
    <xf numFmtId="10" fontId="150" fillId="0" borderId="63" xfId="0" applyNumberFormat="1" applyFont="1" applyFill="1" applyBorder="1" applyAlignment="1">
      <alignment horizontal="center" vertical="center"/>
    </xf>
    <xf numFmtId="10" fontId="150" fillId="0" borderId="78" xfId="0" applyNumberFormat="1" applyFont="1" applyFill="1" applyBorder="1" applyAlignment="1">
      <alignment horizontal="center" vertical="center"/>
    </xf>
    <xf numFmtId="10" fontId="150" fillId="0" borderId="77" xfId="0" applyNumberFormat="1" applyFont="1" applyFill="1" applyBorder="1" applyAlignment="1">
      <alignment horizontal="center" vertical="center"/>
    </xf>
    <xf numFmtId="10" fontId="141" fillId="0" borderId="78" xfId="0" applyNumberFormat="1" applyFont="1" applyFill="1" applyBorder="1" applyAlignment="1">
      <alignment horizontal="center" vertical="center"/>
    </xf>
    <xf numFmtId="10" fontId="130" fillId="0" borderId="0" xfId="56" applyNumberFormat="1" applyFont="1" applyAlignment="1">
      <alignment horizontal="center" vertical="center"/>
      <protection/>
    </xf>
    <xf numFmtId="10" fontId="127" fillId="0" borderId="0" xfId="56" applyNumberFormat="1" applyFont="1" applyAlignment="1">
      <alignment horizontal="center" vertical="center"/>
      <protection/>
    </xf>
    <xf numFmtId="10" fontId="127" fillId="33" borderId="0" xfId="56" applyNumberFormat="1" applyFont="1" applyFill="1" applyAlignment="1">
      <alignment horizontal="center" vertical="center"/>
      <protection/>
    </xf>
    <xf numFmtId="10" fontId="127" fillId="33" borderId="0" xfId="56" applyNumberFormat="1" applyFont="1" applyFill="1" applyAlignment="1">
      <alignment vertical="center"/>
      <protection/>
    </xf>
    <xf numFmtId="3" fontId="154" fillId="6" borderId="87" xfId="56" applyNumberFormat="1" applyFont="1" applyFill="1" applyBorder="1" applyAlignment="1">
      <alignment horizontal="center" vertical="center" wrapText="1"/>
      <protection/>
    </xf>
    <xf numFmtId="3" fontId="154" fillId="6" borderId="88" xfId="56" applyNumberFormat="1" applyFont="1" applyFill="1" applyBorder="1" applyAlignment="1">
      <alignment horizontal="center" vertical="center" wrapText="1"/>
      <protection/>
    </xf>
    <xf numFmtId="3" fontId="154" fillId="6" borderId="89" xfId="56" applyNumberFormat="1" applyFont="1" applyFill="1" applyBorder="1" applyAlignment="1">
      <alignment horizontal="center" vertical="center" wrapText="1"/>
      <protection/>
    </xf>
    <xf numFmtId="10" fontId="138" fillId="0" borderId="79" xfId="56" applyNumberFormat="1" applyFont="1" applyFill="1" applyBorder="1" applyAlignment="1">
      <alignment horizontal="center" vertical="center" wrapText="1"/>
      <protection/>
    </xf>
    <xf numFmtId="3" fontId="151" fillId="0" borderId="90" xfId="56" applyNumberFormat="1" applyFont="1" applyFill="1" applyBorder="1" applyAlignment="1">
      <alignment horizontal="center" vertical="center" wrapText="1"/>
      <protection/>
    </xf>
    <xf numFmtId="3" fontId="159" fillId="6" borderId="87" xfId="56" applyNumberFormat="1" applyFont="1" applyFill="1" applyBorder="1" applyAlignment="1">
      <alignment horizontal="center" vertical="center" wrapText="1"/>
      <protection/>
    </xf>
    <xf numFmtId="3" fontId="155" fillId="33" borderId="79" xfId="56" applyNumberFormat="1" applyFont="1" applyFill="1" applyBorder="1" applyAlignment="1">
      <alignment horizontal="center" vertical="center" wrapText="1"/>
      <protection/>
    </xf>
    <xf numFmtId="0" fontId="7" fillId="7" borderId="72" xfId="56" applyFont="1" applyFill="1" applyBorder="1" applyAlignment="1">
      <alignment horizontal="center" vertical="center" wrapText="1"/>
      <protection/>
    </xf>
    <xf numFmtId="3" fontId="160" fillId="33" borderId="26" xfId="56" applyNumberFormat="1" applyFont="1" applyFill="1" applyBorder="1" applyAlignment="1">
      <alignment horizontal="center" vertical="center" wrapText="1"/>
      <protection/>
    </xf>
    <xf numFmtId="0" fontId="4" fillId="7" borderId="75" xfId="56" applyFont="1" applyFill="1" applyBorder="1" applyAlignment="1">
      <alignment horizontal="center" vertical="center" wrapText="1" readingOrder="2"/>
      <protection/>
    </xf>
    <xf numFmtId="3" fontId="152" fillId="0" borderId="90" xfId="56" applyNumberFormat="1" applyFont="1" applyFill="1" applyBorder="1" applyAlignment="1">
      <alignment horizontal="center" vertical="center" wrapText="1"/>
      <protection/>
    </xf>
    <xf numFmtId="10" fontId="138" fillId="0" borderId="82" xfId="56" applyNumberFormat="1" applyFont="1" applyFill="1" applyBorder="1" applyAlignment="1">
      <alignment horizontal="center" vertical="center" wrapText="1"/>
      <protection/>
    </xf>
    <xf numFmtId="0" fontId="4" fillId="7" borderId="72" xfId="56" applyFont="1" applyFill="1" applyBorder="1" applyAlignment="1">
      <alignment horizontal="center" vertical="center" wrapText="1"/>
      <protection/>
    </xf>
    <xf numFmtId="3" fontId="151" fillId="0" borderId="91" xfId="56" applyNumberFormat="1" applyFont="1" applyFill="1" applyBorder="1" applyAlignment="1">
      <alignment horizontal="center" vertical="center" wrapText="1"/>
      <protection/>
    </xf>
    <xf numFmtId="3" fontId="151" fillId="0" borderId="92" xfId="56" applyNumberFormat="1" applyFont="1" applyFill="1" applyBorder="1" applyAlignment="1">
      <alignment horizontal="center" vertical="center" wrapText="1"/>
      <protection/>
    </xf>
    <xf numFmtId="0" fontId="130" fillId="0" borderId="78" xfId="0" applyFont="1" applyFill="1" applyBorder="1" applyAlignment="1">
      <alignment horizontal="center" vertical="center"/>
    </xf>
    <xf numFmtId="0" fontId="130" fillId="0" borderId="77" xfId="0" applyFont="1" applyFill="1" applyBorder="1" applyAlignment="1">
      <alignment horizontal="center" vertical="center"/>
    </xf>
    <xf numFmtId="0" fontId="141" fillId="0" borderId="62" xfId="0" applyFont="1" applyFill="1" applyBorder="1" applyAlignment="1">
      <alignment horizontal="center" vertical="center"/>
    </xf>
    <xf numFmtId="3" fontId="137" fillId="6" borderId="20" xfId="0" applyNumberFormat="1" applyFont="1" applyFill="1" applyBorder="1" applyAlignment="1">
      <alignment horizontal="center" vertical="center"/>
    </xf>
    <xf numFmtId="3" fontId="137" fillId="6" borderId="12" xfId="0" applyNumberFormat="1" applyFont="1" applyFill="1" applyBorder="1" applyAlignment="1">
      <alignment horizontal="center" vertical="center"/>
    </xf>
    <xf numFmtId="3" fontId="137" fillId="6" borderId="21" xfId="0" applyNumberFormat="1" applyFont="1" applyFill="1" applyBorder="1" applyAlignment="1">
      <alignment horizontal="center" vertical="center"/>
    </xf>
    <xf numFmtId="3" fontId="137" fillId="6" borderId="48" xfId="0" applyNumberFormat="1" applyFont="1" applyFill="1" applyBorder="1" applyAlignment="1">
      <alignment horizontal="center" vertical="center"/>
    </xf>
    <xf numFmtId="3" fontId="137" fillId="6" borderId="61" xfId="0" applyNumberFormat="1" applyFont="1" applyFill="1" applyBorder="1" applyAlignment="1">
      <alignment horizontal="center" vertical="center"/>
    </xf>
    <xf numFmtId="3" fontId="137" fillId="6" borderId="49" xfId="0" applyNumberFormat="1" applyFont="1" applyFill="1" applyBorder="1" applyAlignment="1">
      <alignment horizontal="center" vertical="center"/>
    </xf>
    <xf numFmtId="0" fontId="138" fillId="0" borderId="0" xfId="56" applyFont="1" applyAlignment="1">
      <alignment horizontal="center" vertical="center"/>
      <protection/>
    </xf>
    <xf numFmtId="3" fontId="161" fillId="6" borderId="93" xfId="56" applyNumberFormat="1" applyFont="1" applyFill="1" applyBorder="1" applyAlignment="1">
      <alignment horizontal="center" vertical="center" wrapText="1"/>
      <protection/>
    </xf>
    <xf numFmtId="3" fontId="27" fillId="33" borderId="0" xfId="0" applyNumberFormat="1" applyFont="1" applyFill="1" applyAlignment="1">
      <alignment horizontal="center"/>
    </xf>
    <xf numFmtId="0" fontId="6" fillId="33" borderId="23"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0"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2" xfId="0" applyFont="1" applyFill="1" applyBorder="1" applyAlignment="1">
      <alignment horizontal="center" vertical="center" wrapText="1"/>
    </xf>
    <xf numFmtId="0" fontId="6" fillId="33" borderId="0" xfId="0" applyFont="1" applyFill="1" applyBorder="1" applyAlignment="1">
      <alignment vertical="center"/>
    </xf>
    <xf numFmtId="169" fontId="6" fillId="33" borderId="0" xfId="0" applyNumberFormat="1" applyFont="1" applyFill="1" applyBorder="1" applyAlignment="1">
      <alignment horizontal="center" vertical="center"/>
    </xf>
    <xf numFmtId="169" fontId="6" fillId="33" borderId="0" xfId="0" applyNumberFormat="1" applyFont="1" applyFill="1" applyBorder="1" applyAlignment="1">
      <alignment vertical="center"/>
    </xf>
    <xf numFmtId="166" fontId="6" fillId="33" borderId="24" xfId="0" applyNumberFormat="1" applyFont="1" applyFill="1" applyBorder="1" applyAlignment="1">
      <alignment horizontal="center" vertical="center"/>
    </xf>
    <xf numFmtId="3" fontId="6" fillId="33" borderId="24" xfId="0" applyNumberFormat="1" applyFont="1" applyFill="1" applyBorder="1" applyAlignment="1">
      <alignment horizontal="center" vertical="center"/>
    </xf>
    <xf numFmtId="3" fontId="6" fillId="33" borderId="0" xfId="0" applyNumberFormat="1" applyFont="1" applyFill="1" applyBorder="1" applyAlignment="1">
      <alignment horizontal="center" vertical="center"/>
    </xf>
    <xf numFmtId="3" fontId="6" fillId="33" borderId="0" xfId="0" applyNumberFormat="1" applyFont="1" applyFill="1" applyAlignment="1">
      <alignment horizontal="center" vertical="center"/>
    </xf>
    <xf numFmtId="0" fontId="4" fillId="7" borderId="94" xfId="56" applyFont="1" applyFill="1" applyBorder="1" applyAlignment="1">
      <alignment horizontal="center" vertical="center" wrapText="1"/>
      <protection/>
    </xf>
    <xf numFmtId="0" fontId="42" fillId="0" borderId="0" xfId="0" applyFont="1" applyAlignment="1">
      <alignment horizontal="right" wrapText="1"/>
    </xf>
    <xf numFmtId="0" fontId="39" fillId="0" borderId="0" xfId="56" applyFont="1" applyFill="1" applyAlignment="1">
      <alignment horizontal="center" vertical="center" readingOrder="2"/>
      <protection/>
    </xf>
    <xf numFmtId="3" fontId="28" fillId="33" borderId="0" xfId="0" applyNumberFormat="1" applyFont="1" applyFill="1" applyAlignment="1">
      <alignment horizontal="center"/>
    </xf>
    <xf numFmtId="0" fontId="162" fillId="0" borderId="0" xfId="0" applyFont="1" applyAlignment="1">
      <alignment horizontal="right" readingOrder="2"/>
    </xf>
    <xf numFmtId="0" fontId="163" fillId="33" borderId="0" xfId="0" applyFont="1" applyFill="1" applyBorder="1" applyAlignment="1">
      <alignment horizontal="right" wrapText="1"/>
    </xf>
    <xf numFmtId="0" fontId="44" fillId="0" borderId="0" xfId="56" applyFont="1" applyFill="1" applyBorder="1" applyAlignment="1">
      <alignment horizontal="center" vertical="center" readingOrder="2"/>
      <protection/>
    </xf>
    <xf numFmtId="0" fontId="44" fillId="0" borderId="0" xfId="56" applyFont="1" applyFill="1" applyBorder="1" applyAlignment="1">
      <alignment horizontal="right" vertical="center" readingOrder="2"/>
      <protection/>
    </xf>
    <xf numFmtId="0" fontId="9" fillId="0" borderId="0" xfId="56" applyFont="1" applyFill="1" applyAlignment="1">
      <alignment horizontal="center" vertical="center" readingOrder="2"/>
      <protection/>
    </xf>
    <xf numFmtId="0" fontId="44" fillId="0" borderId="25" xfId="56" applyFont="1" applyFill="1" applyBorder="1" applyAlignment="1">
      <alignment horizontal="center" vertical="center" wrapText="1" readingOrder="2"/>
      <protection/>
    </xf>
    <xf numFmtId="0" fontId="43" fillId="0" borderId="0" xfId="56" applyFont="1" applyFill="1" applyAlignment="1">
      <alignment horizontal="right" vertical="center" readingOrder="2"/>
      <protection/>
    </xf>
    <xf numFmtId="0" fontId="43" fillId="0" borderId="0" xfId="56" applyFont="1" applyFill="1" applyBorder="1" applyAlignment="1">
      <alignment horizontal="center" vertical="center" readingOrder="2"/>
      <protection/>
    </xf>
    <xf numFmtId="0" fontId="9" fillId="0" borderId="0" xfId="56" applyFont="1" applyFill="1" applyBorder="1" applyAlignment="1">
      <alignment horizontal="right" vertical="center" readingOrder="2"/>
      <protection/>
    </xf>
    <xf numFmtId="0" fontId="29" fillId="33" borderId="0" xfId="56" applyFont="1" applyFill="1" applyAlignment="1">
      <alignment horizontal="center" vertical="center" readingOrder="2"/>
      <protection/>
    </xf>
    <xf numFmtId="0" fontId="28" fillId="33" borderId="0" xfId="56" applyFont="1" applyFill="1" applyAlignment="1">
      <alignment horizontal="center" vertical="center" readingOrder="2"/>
      <protection/>
    </xf>
    <xf numFmtId="3" fontId="27" fillId="33" borderId="0" xfId="0" applyNumberFormat="1" applyFont="1" applyFill="1" applyAlignment="1">
      <alignment horizontal="center"/>
    </xf>
    <xf numFmtId="0" fontId="164" fillId="33" borderId="0" xfId="56" applyFont="1" applyFill="1" applyAlignment="1">
      <alignment horizontal="center" vertical="center"/>
      <protection/>
    </xf>
    <xf numFmtId="0" fontId="5" fillId="33" borderId="0" xfId="0" applyFont="1" applyFill="1" applyAlignment="1">
      <alignment horizontal="center"/>
    </xf>
    <xf numFmtId="167" fontId="23" fillId="33" borderId="0" xfId="0" applyNumberFormat="1" applyFont="1" applyFill="1" applyAlignment="1">
      <alignment horizontal="right" vertical="center" wrapText="1" readingOrder="2"/>
    </xf>
    <xf numFmtId="167" fontId="5" fillId="33" borderId="0" xfId="0" applyNumberFormat="1" applyFont="1" applyFill="1" applyAlignment="1">
      <alignment horizontal="right" vertical="center" wrapText="1" readingOrder="2"/>
    </xf>
    <xf numFmtId="0" fontId="5" fillId="33" borderId="23" xfId="0" applyFont="1" applyFill="1" applyBorder="1" applyAlignment="1">
      <alignment horizontal="center" vertical="center" wrapText="1"/>
    </xf>
    <xf numFmtId="0" fontId="5" fillId="33" borderId="23" xfId="0" applyFont="1" applyFill="1" applyBorder="1" applyAlignment="1">
      <alignment horizontal="center" vertical="center"/>
    </xf>
    <xf numFmtId="0" fontId="8" fillId="33" borderId="0" xfId="0" applyFont="1" applyFill="1" applyAlignment="1">
      <alignment horizontal="right" vertical="center"/>
    </xf>
    <xf numFmtId="0" fontId="137" fillId="33" borderId="25" xfId="0" applyFont="1" applyFill="1" applyBorder="1" applyAlignment="1">
      <alignment horizontal="center"/>
    </xf>
    <xf numFmtId="0" fontId="142" fillId="33" borderId="22" xfId="0" applyFont="1" applyFill="1" applyBorder="1" applyAlignment="1">
      <alignment horizontal="center"/>
    </xf>
    <xf numFmtId="0" fontId="142" fillId="33" borderId="22" xfId="0" applyFont="1" applyFill="1" applyBorder="1" applyAlignment="1">
      <alignment horizontal="center" vertical="center"/>
    </xf>
    <xf numFmtId="0" fontId="142" fillId="33" borderId="25" xfId="0" applyFont="1" applyFill="1" applyBorder="1" applyAlignment="1">
      <alignment horizontal="center" vertical="center"/>
    </xf>
    <xf numFmtId="0" fontId="142" fillId="33" borderId="0" xfId="0" applyFont="1" applyFill="1" applyBorder="1" applyAlignment="1">
      <alignment horizontal="center" vertical="center" wrapText="1"/>
    </xf>
    <xf numFmtId="0" fontId="142" fillId="33" borderId="25" xfId="0" applyFont="1" applyFill="1" applyBorder="1" applyAlignment="1">
      <alignment horizontal="center" vertical="center" wrapText="1"/>
    </xf>
    <xf numFmtId="0" fontId="140" fillId="33" borderId="25" xfId="0" applyFont="1" applyFill="1" applyBorder="1" applyAlignment="1">
      <alignment horizontal="center"/>
    </xf>
    <xf numFmtId="0" fontId="11" fillId="33" borderId="0" xfId="0" applyFont="1" applyFill="1" applyAlignment="1">
      <alignment horizontal="center" vertical="center"/>
    </xf>
    <xf numFmtId="0" fontId="24" fillId="33" borderId="22" xfId="0" applyFont="1" applyFill="1" applyBorder="1" applyAlignment="1">
      <alignment horizontal="center" vertical="center"/>
    </xf>
    <xf numFmtId="0" fontId="24" fillId="33" borderId="25" xfId="0" applyFont="1" applyFill="1" applyBorder="1" applyAlignment="1">
      <alignment horizontal="center" vertical="center"/>
    </xf>
    <xf numFmtId="0" fontId="8" fillId="33" borderId="0" xfId="0" applyFont="1" applyFill="1" applyAlignment="1">
      <alignment horizontal="right" vertical="center" readingOrder="2"/>
    </xf>
    <xf numFmtId="166" fontId="8" fillId="33" borderId="0" xfId="0" applyNumberFormat="1" applyFont="1" applyFill="1" applyAlignment="1">
      <alignment horizontal="right" vertical="center" readingOrder="2"/>
    </xf>
    <xf numFmtId="0" fontId="6" fillId="33" borderId="0" xfId="0" applyFont="1" applyFill="1" applyBorder="1" applyAlignment="1">
      <alignment horizontal="center" vertical="center"/>
    </xf>
    <xf numFmtId="166" fontId="6" fillId="33" borderId="0" xfId="0" applyNumberFormat="1" applyFont="1" applyFill="1" applyBorder="1" applyAlignment="1">
      <alignment horizontal="center" vertical="center"/>
    </xf>
    <xf numFmtId="0" fontId="129" fillId="33" borderId="0" xfId="0" applyFont="1" applyFill="1" applyBorder="1" applyAlignment="1">
      <alignment horizontal="center" vertical="center" wrapText="1"/>
    </xf>
    <xf numFmtId="0" fontId="24" fillId="33" borderId="23" xfId="0" applyFont="1" applyFill="1" applyBorder="1" applyAlignment="1">
      <alignment horizontal="center" vertical="center"/>
    </xf>
    <xf numFmtId="0" fontId="16" fillId="33" borderId="0" xfId="0" applyFont="1" applyFill="1" applyAlignment="1">
      <alignment horizontal="center" vertical="center"/>
    </xf>
    <xf numFmtId="0" fontId="15" fillId="33" borderId="0" xfId="0" applyFont="1" applyFill="1" applyBorder="1" applyAlignment="1">
      <alignment horizontal="center" vertical="center"/>
    </xf>
    <xf numFmtId="166" fontId="15" fillId="33" borderId="0" xfId="0" applyNumberFormat="1" applyFont="1" applyFill="1" applyBorder="1" applyAlignment="1">
      <alignment horizontal="center" vertical="center"/>
    </xf>
    <xf numFmtId="0" fontId="4" fillId="33" borderId="0" xfId="0" applyFont="1" applyFill="1" applyBorder="1" applyAlignment="1">
      <alignment horizontal="center" vertical="center" wrapText="1"/>
    </xf>
    <xf numFmtId="0" fontId="145" fillId="33" borderId="0" xfId="0" applyFont="1" applyFill="1" applyBorder="1" applyAlignment="1">
      <alignment horizontal="center" vertical="center" wrapText="1"/>
    </xf>
    <xf numFmtId="0" fontId="4" fillId="33" borderId="25" xfId="0" applyFont="1" applyFill="1" applyBorder="1" applyAlignment="1">
      <alignment horizontal="center" vertical="center"/>
    </xf>
    <xf numFmtId="0" fontId="37" fillId="33" borderId="0" xfId="0" applyFont="1" applyFill="1" applyAlignment="1">
      <alignment horizontal="right" vertical="center" readingOrder="2"/>
    </xf>
    <xf numFmtId="0" fontId="13" fillId="33" borderId="0" xfId="0" applyFont="1" applyFill="1" applyAlignment="1">
      <alignment horizontal="center" vertical="center"/>
    </xf>
    <xf numFmtId="0" fontId="4" fillId="33" borderId="0" xfId="0" applyFont="1" applyFill="1" applyBorder="1" applyAlignment="1">
      <alignment horizontal="center" vertical="center"/>
    </xf>
    <xf numFmtId="0" fontId="15" fillId="33" borderId="23"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25" xfId="0" applyFont="1" applyFill="1" applyBorder="1" applyAlignment="1">
      <alignment horizontal="center" vertical="center"/>
    </xf>
    <xf numFmtId="0" fontId="2" fillId="33" borderId="0" xfId="0" applyFont="1" applyFill="1" applyBorder="1" applyAlignment="1">
      <alignment horizontal="center" vertical="center"/>
    </xf>
    <xf numFmtId="166" fontId="2" fillId="33" borderId="0" xfId="0" applyNumberFormat="1" applyFont="1" applyFill="1" applyBorder="1" applyAlignment="1">
      <alignment horizontal="center" vertical="center"/>
    </xf>
    <xf numFmtId="0" fontId="3" fillId="33" borderId="0" xfId="0" applyFont="1" applyFill="1" applyBorder="1" applyAlignment="1">
      <alignment horizontal="center" vertical="center" wrapText="1"/>
    </xf>
    <xf numFmtId="0" fontId="131" fillId="33" borderId="0"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0" xfId="0" applyFont="1" applyFill="1" applyBorder="1" applyAlignment="1">
      <alignment horizontal="center" vertical="center"/>
    </xf>
    <xf numFmtId="0" fontId="6" fillId="33" borderId="23" xfId="0" applyFont="1" applyFill="1" applyBorder="1" applyAlignment="1">
      <alignment horizontal="center" vertical="center"/>
    </xf>
    <xf numFmtId="0" fontId="5" fillId="33" borderId="0" xfId="0" applyFont="1" applyFill="1" applyAlignment="1">
      <alignment horizontal="right" readingOrder="2"/>
    </xf>
    <xf numFmtId="0" fontId="6" fillId="33" borderId="22" xfId="0" applyFont="1" applyFill="1" applyBorder="1" applyAlignment="1">
      <alignment horizontal="center" vertical="center"/>
    </xf>
    <xf numFmtId="0" fontId="6" fillId="33" borderId="25" xfId="0" applyFont="1" applyFill="1" applyBorder="1" applyAlignment="1">
      <alignment horizontal="center" vertical="center"/>
    </xf>
    <xf numFmtId="167" fontId="3" fillId="33" borderId="95" xfId="0" applyNumberFormat="1" applyFont="1" applyFill="1" applyBorder="1" applyAlignment="1">
      <alignment horizontal="center" vertical="center" shrinkToFit="1" readingOrder="2"/>
    </xf>
    <xf numFmtId="167" fontId="3" fillId="33" borderId="96" xfId="0" applyNumberFormat="1" applyFont="1" applyFill="1" applyBorder="1" applyAlignment="1">
      <alignment horizontal="center" vertical="center" shrinkToFit="1" readingOrder="2"/>
    </xf>
    <xf numFmtId="167" fontId="3" fillId="33" borderId="97" xfId="0" applyNumberFormat="1" applyFont="1" applyFill="1" applyBorder="1" applyAlignment="1">
      <alignment horizontal="center" vertical="center" shrinkToFit="1" readingOrder="2"/>
    </xf>
    <xf numFmtId="167" fontId="3" fillId="33" borderId="98" xfId="0" applyNumberFormat="1" applyFont="1" applyFill="1" applyBorder="1" applyAlignment="1">
      <alignment horizontal="right" vertical="center" shrinkToFit="1"/>
    </xf>
    <xf numFmtId="167" fontId="3" fillId="33" borderId="99" xfId="0" applyNumberFormat="1" applyFont="1" applyFill="1" applyBorder="1" applyAlignment="1">
      <alignment horizontal="right" vertical="center" shrinkToFit="1"/>
    </xf>
    <xf numFmtId="167" fontId="3" fillId="33" borderId="54" xfId="0" applyNumberFormat="1" applyFont="1" applyFill="1" applyBorder="1" applyAlignment="1">
      <alignment horizontal="right" vertical="center" shrinkToFit="1" readingOrder="2"/>
    </xf>
    <xf numFmtId="167" fontId="3" fillId="33" borderId="100" xfId="0" applyNumberFormat="1" applyFont="1" applyFill="1" applyBorder="1" applyAlignment="1">
      <alignment horizontal="left" vertical="center" shrinkToFit="1" readingOrder="2"/>
    </xf>
    <xf numFmtId="167" fontId="3" fillId="33" borderId="101" xfId="0" applyNumberFormat="1" applyFont="1" applyFill="1" applyBorder="1" applyAlignment="1">
      <alignment horizontal="right" vertical="center" shrinkToFit="1" readingOrder="2"/>
    </xf>
    <xf numFmtId="167" fontId="3" fillId="33" borderId="42" xfId="0" applyNumberFormat="1" applyFont="1" applyFill="1" applyBorder="1" applyAlignment="1">
      <alignment horizontal="right" vertical="center" shrinkToFit="1" readingOrder="2"/>
    </xf>
    <xf numFmtId="166" fontId="5" fillId="33" borderId="0" xfId="0" applyNumberFormat="1" applyFont="1" applyFill="1" applyAlignment="1">
      <alignment horizontal="right" readingOrder="2"/>
    </xf>
    <xf numFmtId="0" fontId="35" fillId="33" borderId="0" xfId="0" applyFont="1" applyFill="1" applyAlignment="1">
      <alignment horizontal="center"/>
    </xf>
    <xf numFmtId="0" fontId="125" fillId="33" borderId="102" xfId="0" applyFont="1" applyFill="1" applyBorder="1" applyAlignment="1">
      <alignment horizontal="center" vertical="center"/>
    </xf>
    <xf numFmtId="0" fontId="125" fillId="33" borderId="103" xfId="0" applyFont="1" applyFill="1" applyBorder="1" applyAlignment="1">
      <alignment horizontal="center" vertical="center"/>
    </xf>
    <xf numFmtId="167" fontId="3" fillId="33" borderId="104" xfId="0" applyNumberFormat="1" applyFont="1" applyFill="1" applyBorder="1" applyAlignment="1">
      <alignment horizontal="center" vertical="center" wrapText="1" readingOrder="2"/>
    </xf>
    <xf numFmtId="167" fontId="3" fillId="33" borderId="105" xfId="0" applyNumberFormat="1" applyFont="1" applyFill="1" applyBorder="1" applyAlignment="1">
      <alignment horizontal="center" vertical="center" wrapText="1" readingOrder="2"/>
    </xf>
    <xf numFmtId="167" fontId="3" fillId="33" borderId="96" xfId="0" applyNumberFormat="1" applyFont="1" applyFill="1" applyBorder="1" applyAlignment="1">
      <alignment horizontal="center" vertical="center" wrapText="1" readingOrder="2"/>
    </xf>
    <xf numFmtId="167" fontId="3" fillId="33" borderId="62" xfId="0" applyNumberFormat="1" applyFont="1" applyFill="1" applyBorder="1" applyAlignment="1">
      <alignment horizontal="center" vertical="center" wrapText="1" readingOrder="2"/>
    </xf>
    <xf numFmtId="167" fontId="3" fillId="33" borderId="106" xfId="0" applyNumberFormat="1" applyFont="1" applyFill="1" applyBorder="1" applyAlignment="1">
      <alignment horizontal="center" vertical="center" wrapText="1" readingOrder="2"/>
    </xf>
    <xf numFmtId="167" fontId="3" fillId="33" borderId="63" xfId="0" applyNumberFormat="1" applyFont="1" applyFill="1" applyBorder="1" applyAlignment="1">
      <alignment horizontal="center" vertical="center" wrapText="1" readingOrder="2"/>
    </xf>
    <xf numFmtId="0" fontId="125" fillId="33" borderId="107" xfId="0" applyFont="1" applyFill="1" applyBorder="1" applyAlignment="1">
      <alignment horizontal="center" vertical="center" wrapText="1"/>
    </xf>
    <xf numFmtId="0" fontId="125" fillId="33" borderId="79" xfId="0" applyFont="1" applyFill="1" applyBorder="1" applyAlignment="1">
      <alignment horizontal="center" vertical="center" wrapText="1"/>
    </xf>
    <xf numFmtId="167" fontId="3" fillId="33" borderId="108" xfId="0" applyNumberFormat="1" applyFont="1" applyFill="1" applyBorder="1" applyAlignment="1">
      <alignment horizontal="right" vertical="center" shrinkToFit="1" readingOrder="2"/>
    </xf>
    <xf numFmtId="167" fontId="3" fillId="33" borderId="109" xfId="0" applyNumberFormat="1" applyFont="1" applyFill="1" applyBorder="1" applyAlignment="1">
      <alignment horizontal="right" vertical="center" shrinkToFit="1" readingOrder="2"/>
    </xf>
    <xf numFmtId="167" fontId="3" fillId="33" borderId="95" xfId="0" applyNumberFormat="1" applyFont="1" applyFill="1" applyBorder="1" applyAlignment="1">
      <alignment horizontal="right" vertical="center" shrinkToFit="1" readingOrder="2"/>
    </xf>
    <xf numFmtId="167" fontId="3" fillId="33" borderId="110" xfId="0" applyNumberFormat="1" applyFont="1" applyFill="1" applyBorder="1" applyAlignment="1">
      <alignment horizontal="left" vertical="center" shrinkToFit="1" readingOrder="2"/>
    </xf>
    <xf numFmtId="167" fontId="3" fillId="33" borderId="101" xfId="0" applyNumberFormat="1" applyFont="1" applyFill="1" applyBorder="1" applyAlignment="1">
      <alignment horizontal="right" vertical="center" wrapText="1" shrinkToFit="1" readingOrder="2"/>
    </xf>
    <xf numFmtId="167" fontId="3" fillId="33" borderId="42" xfId="0" applyNumberFormat="1" applyFont="1" applyFill="1" applyBorder="1" applyAlignment="1">
      <alignment horizontal="left" vertical="center" wrapText="1" shrinkToFit="1" readingOrder="2"/>
    </xf>
    <xf numFmtId="167" fontId="3" fillId="33" borderId="39" xfId="0" applyNumberFormat="1" applyFont="1" applyFill="1" applyBorder="1" applyAlignment="1">
      <alignment horizontal="left" vertical="center" shrinkToFit="1" readingOrder="2"/>
    </xf>
    <xf numFmtId="167" fontId="3" fillId="33" borderId="101" xfId="0" applyNumberFormat="1" applyFont="1" applyFill="1" applyBorder="1" applyAlignment="1">
      <alignment horizontal="right" shrinkToFit="1" readingOrder="2"/>
    </xf>
    <xf numFmtId="167" fontId="3" fillId="33" borderId="42" xfId="0" applyNumberFormat="1" applyFont="1" applyFill="1" applyBorder="1" applyAlignment="1">
      <alignment horizontal="left" shrinkToFit="1" readingOrder="2"/>
    </xf>
    <xf numFmtId="167" fontId="165" fillId="33" borderId="101" xfId="0" applyNumberFormat="1" applyFont="1" applyFill="1" applyBorder="1" applyAlignment="1">
      <alignment horizontal="right" vertical="center" shrinkToFit="1" readingOrder="2"/>
    </xf>
    <xf numFmtId="167" fontId="165" fillId="33" borderId="108" xfId="0" applyNumberFormat="1" applyFont="1" applyFill="1" applyBorder="1" applyAlignment="1">
      <alignment horizontal="right" vertical="center" shrinkToFit="1" readingOrder="2"/>
    </xf>
    <xf numFmtId="167" fontId="165" fillId="33" borderId="111" xfId="0" applyNumberFormat="1" applyFont="1" applyFill="1" applyBorder="1" applyAlignment="1">
      <alignment horizontal="right" vertical="center" shrinkToFit="1" readingOrder="2"/>
    </xf>
    <xf numFmtId="167" fontId="165" fillId="33" borderId="109" xfId="0" applyNumberFormat="1" applyFont="1" applyFill="1" applyBorder="1" applyAlignment="1">
      <alignment horizontal="right" vertical="center" shrinkToFit="1" readingOrder="2"/>
    </xf>
    <xf numFmtId="167" fontId="3" fillId="33" borderId="108" xfId="0" applyNumberFormat="1" applyFont="1" applyFill="1" applyBorder="1" applyAlignment="1">
      <alignment horizontal="left" vertical="center" shrinkToFit="1" readingOrder="2"/>
    </xf>
    <xf numFmtId="167" fontId="3" fillId="33" borderId="95" xfId="0" applyNumberFormat="1" applyFont="1" applyFill="1" applyBorder="1" applyAlignment="1">
      <alignment horizontal="right" shrinkToFit="1" readingOrder="2"/>
    </xf>
    <xf numFmtId="167" fontId="3" fillId="33" borderId="110" xfId="0" applyNumberFormat="1" applyFont="1" applyFill="1" applyBorder="1" applyAlignment="1">
      <alignment horizontal="left" shrinkToFit="1" readingOrder="2"/>
    </xf>
    <xf numFmtId="167" fontId="3" fillId="6" borderId="112" xfId="0" applyNumberFormat="1" applyFont="1" applyFill="1" applyBorder="1" applyAlignment="1">
      <alignment horizontal="right" vertical="center" shrinkToFit="1" readingOrder="2"/>
    </xf>
    <xf numFmtId="167" fontId="3" fillId="6" borderId="23" xfId="0" applyNumberFormat="1" applyFont="1" applyFill="1" applyBorder="1" applyAlignment="1">
      <alignment horizontal="right" vertical="center" shrinkToFit="1" readingOrder="2"/>
    </xf>
    <xf numFmtId="167" fontId="3" fillId="6" borderId="113" xfId="0" applyNumberFormat="1" applyFont="1" applyFill="1" applyBorder="1" applyAlignment="1">
      <alignment horizontal="right" vertical="center" shrinkToFit="1" readingOrder="2"/>
    </xf>
    <xf numFmtId="167" fontId="3" fillId="33" borderId="97" xfId="0" applyNumberFormat="1" applyFont="1" applyFill="1" applyBorder="1" applyAlignment="1">
      <alignment horizontal="right" vertical="center" shrinkToFit="1" readingOrder="2"/>
    </xf>
    <xf numFmtId="167" fontId="3" fillId="33" borderId="114" xfId="0" applyNumberFormat="1" applyFont="1" applyFill="1" applyBorder="1" applyAlignment="1">
      <alignment horizontal="right" vertical="center" shrinkToFit="1" readingOrder="2"/>
    </xf>
    <xf numFmtId="167" fontId="3" fillId="33" borderId="96" xfId="0" applyNumberFormat="1" applyFont="1" applyFill="1" applyBorder="1" applyAlignment="1">
      <alignment horizontal="right" vertical="center" shrinkToFit="1" readingOrder="2"/>
    </xf>
    <xf numFmtId="167" fontId="3" fillId="33" borderId="62" xfId="0" applyNumberFormat="1" applyFont="1" applyFill="1" applyBorder="1" applyAlignment="1">
      <alignment horizontal="left" vertical="center" shrinkToFit="1" readingOrder="2"/>
    </xf>
    <xf numFmtId="0" fontId="125" fillId="33" borderId="107" xfId="0" applyFont="1" applyFill="1" applyBorder="1" applyAlignment="1">
      <alignment horizontal="center" vertical="center"/>
    </xf>
    <xf numFmtId="0" fontId="125" fillId="33" borderId="79" xfId="0" applyFont="1" applyFill="1" applyBorder="1" applyAlignment="1">
      <alignment horizontal="center" vertical="center"/>
    </xf>
    <xf numFmtId="167" fontId="3" fillId="33" borderId="112" xfId="0" applyNumberFormat="1" applyFont="1" applyFill="1" applyBorder="1" applyAlignment="1">
      <alignment horizontal="right" vertical="center" shrinkToFit="1" readingOrder="2"/>
    </xf>
    <xf numFmtId="167" fontId="3" fillId="33" borderId="78" xfId="0" applyNumberFormat="1" applyFont="1" applyFill="1" applyBorder="1" applyAlignment="1">
      <alignment horizontal="left" vertical="center" shrinkToFit="1" readingOrder="2"/>
    </xf>
    <xf numFmtId="167" fontId="3" fillId="6" borderId="115" xfId="0" applyNumberFormat="1" applyFont="1" applyFill="1" applyBorder="1" applyAlignment="1">
      <alignment horizontal="right" vertical="center" shrinkToFit="1" readingOrder="2"/>
    </xf>
    <xf numFmtId="167" fontId="3" fillId="6" borderId="116" xfId="0" applyNumberFormat="1" applyFont="1" applyFill="1" applyBorder="1" applyAlignment="1">
      <alignment horizontal="right" vertical="center" shrinkToFit="1" readingOrder="2"/>
    </xf>
    <xf numFmtId="167" fontId="3" fillId="6" borderId="117" xfId="0" applyNumberFormat="1" applyFont="1" applyFill="1" applyBorder="1" applyAlignment="1">
      <alignment horizontal="right" vertical="center" shrinkToFit="1" readingOrder="2"/>
    </xf>
    <xf numFmtId="167" fontId="3" fillId="33" borderId="96" xfId="0" applyNumberFormat="1" applyFont="1" applyFill="1" applyBorder="1" applyAlignment="1">
      <alignment horizontal="right" shrinkToFit="1" readingOrder="2"/>
    </xf>
    <xf numFmtId="167" fontId="3" fillId="33" borderId="62" xfId="0" applyNumberFormat="1" applyFont="1" applyFill="1" applyBorder="1" applyAlignment="1">
      <alignment horizontal="left" shrinkToFit="1" readingOrder="2"/>
    </xf>
    <xf numFmtId="167" fontId="3" fillId="33" borderId="118" xfId="0" applyNumberFormat="1" applyFont="1" applyFill="1" applyBorder="1" applyAlignment="1">
      <alignment horizontal="center" vertical="center" wrapText="1" readingOrder="2"/>
    </xf>
    <xf numFmtId="167" fontId="3" fillId="33" borderId="28" xfId="0" applyNumberFormat="1" applyFont="1" applyFill="1" applyBorder="1" applyAlignment="1">
      <alignment horizontal="center" vertical="center" wrapText="1" readingOrder="2"/>
    </xf>
    <xf numFmtId="167" fontId="3" fillId="33" borderId="119" xfId="0" applyNumberFormat="1" applyFont="1" applyFill="1" applyBorder="1" applyAlignment="1">
      <alignment horizontal="center" vertical="center" wrapText="1" readingOrder="2"/>
    </xf>
    <xf numFmtId="167" fontId="3" fillId="33" borderId="120" xfId="0" applyNumberFormat="1" applyFont="1" applyFill="1" applyBorder="1" applyAlignment="1">
      <alignment horizontal="center" vertical="center" wrapText="1" readingOrder="2"/>
    </xf>
    <xf numFmtId="167" fontId="3" fillId="33" borderId="121" xfId="0" applyNumberFormat="1" applyFont="1" applyFill="1" applyBorder="1" applyAlignment="1">
      <alignment horizontal="center" vertical="center" wrapText="1" readingOrder="2"/>
    </xf>
    <xf numFmtId="167" fontId="3" fillId="33" borderId="115" xfId="0" applyNumberFormat="1" applyFont="1" applyFill="1" applyBorder="1" applyAlignment="1">
      <alignment vertical="center" shrinkToFit="1" readingOrder="2"/>
    </xf>
    <xf numFmtId="167" fontId="3" fillId="33" borderId="122" xfId="0" applyNumberFormat="1" applyFont="1" applyFill="1" applyBorder="1" applyAlignment="1">
      <alignment vertical="center" shrinkToFit="1" readingOrder="2"/>
    </xf>
    <xf numFmtId="167" fontId="3" fillId="6" borderId="101" xfId="0" applyNumberFormat="1" applyFont="1" applyFill="1" applyBorder="1" applyAlignment="1">
      <alignment horizontal="right" vertical="center" shrinkToFit="1" readingOrder="2"/>
    </xf>
    <xf numFmtId="167" fontId="3" fillId="6" borderId="108" xfId="0" applyNumberFormat="1" applyFont="1" applyFill="1" applyBorder="1" applyAlignment="1">
      <alignment horizontal="right" vertical="center" shrinkToFit="1" readingOrder="2"/>
    </xf>
    <xf numFmtId="167" fontId="3" fillId="6" borderId="109" xfId="0" applyNumberFormat="1" applyFont="1" applyFill="1" applyBorder="1" applyAlignment="1">
      <alignment horizontal="right" vertical="center" shrinkToFit="1" readingOrder="2"/>
    </xf>
    <xf numFmtId="0" fontId="166" fillId="33" borderId="0" xfId="56" applyFont="1" applyFill="1" applyAlignment="1">
      <alignment horizontal="center" vertical="center"/>
      <protection/>
    </xf>
    <xf numFmtId="0" fontId="4" fillId="7" borderId="123" xfId="56" applyFont="1" applyFill="1" applyBorder="1" applyAlignment="1">
      <alignment horizontal="center" vertical="center" wrapText="1"/>
      <protection/>
    </xf>
    <xf numFmtId="0" fontId="4" fillId="7" borderId="124" xfId="56" applyFont="1" applyFill="1" applyBorder="1" applyAlignment="1">
      <alignment horizontal="center" vertical="center" wrapText="1"/>
      <protection/>
    </xf>
    <xf numFmtId="0" fontId="4" fillId="7" borderId="125" xfId="56" applyFont="1" applyFill="1" applyBorder="1" applyAlignment="1">
      <alignment horizontal="center" vertical="center" wrapText="1"/>
      <protection/>
    </xf>
    <xf numFmtId="0" fontId="4" fillId="7" borderId="126" xfId="56" applyFont="1" applyFill="1" applyBorder="1" applyAlignment="1">
      <alignment horizontal="center" vertical="center" wrapText="1"/>
      <protection/>
    </xf>
    <xf numFmtId="0" fontId="154" fillId="36" borderId="127" xfId="56" applyFont="1" applyFill="1" applyBorder="1" applyAlignment="1">
      <alignment horizontal="center" vertical="center" wrapText="1"/>
      <protection/>
    </xf>
    <xf numFmtId="0" fontId="154" fillId="36" borderId="88" xfId="56" applyFont="1" applyFill="1" applyBorder="1" applyAlignment="1">
      <alignment horizontal="center" vertical="center" wrapText="1"/>
      <protection/>
    </xf>
    <xf numFmtId="0" fontId="154" fillId="36" borderId="128" xfId="56" applyFont="1" applyFill="1" applyBorder="1" applyAlignment="1">
      <alignment horizontal="center" vertical="center" wrapText="1"/>
      <protection/>
    </xf>
    <xf numFmtId="0" fontId="4" fillId="7" borderId="129" xfId="56" applyFont="1" applyFill="1" applyBorder="1" applyAlignment="1">
      <alignment horizontal="center" vertical="center" wrapText="1"/>
      <protection/>
    </xf>
    <xf numFmtId="0" fontId="4" fillId="7" borderId="72" xfId="56" applyFont="1" applyFill="1" applyBorder="1" applyAlignment="1">
      <alignment horizontal="center" vertical="center" wrapText="1"/>
      <protection/>
    </xf>
    <xf numFmtId="0" fontId="4" fillId="7" borderId="130" xfId="56" applyFont="1" applyFill="1" applyBorder="1" applyAlignment="1">
      <alignment horizontal="center" vertical="center" wrapText="1"/>
      <protection/>
    </xf>
    <xf numFmtId="0" fontId="4" fillId="7" borderId="131" xfId="56" applyFont="1" applyFill="1" applyBorder="1" applyAlignment="1">
      <alignment horizontal="center" vertical="center" wrapText="1"/>
      <protection/>
    </xf>
    <xf numFmtId="0" fontId="4" fillId="37" borderId="132" xfId="56" applyFont="1" applyFill="1" applyBorder="1" applyAlignment="1">
      <alignment horizontal="center" vertical="center" wrapText="1"/>
      <protection/>
    </xf>
    <xf numFmtId="0" fontId="4" fillId="37" borderId="133" xfId="56" applyFont="1" applyFill="1" applyBorder="1" applyAlignment="1">
      <alignment horizontal="center" vertical="center" wrapText="1"/>
      <protection/>
    </xf>
    <xf numFmtId="0" fontId="4" fillId="37" borderId="134" xfId="56" applyFont="1" applyFill="1" applyBorder="1" applyAlignment="1">
      <alignment horizontal="center" vertical="center" wrapText="1"/>
      <protection/>
    </xf>
    <xf numFmtId="0" fontId="4" fillId="37" borderId="135" xfId="56" applyFont="1" applyFill="1" applyBorder="1" applyAlignment="1">
      <alignment horizontal="center" vertical="center" wrapText="1"/>
      <protection/>
    </xf>
    <xf numFmtId="0" fontId="4" fillId="37" borderId="136" xfId="56" applyFont="1" applyFill="1" applyBorder="1" applyAlignment="1">
      <alignment horizontal="center" vertical="center" wrapText="1"/>
      <protection/>
    </xf>
    <xf numFmtId="0" fontId="4" fillId="37" borderId="137" xfId="56" applyFont="1" applyFill="1" applyBorder="1" applyAlignment="1">
      <alignment horizontal="center" vertical="center" wrapText="1"/>
      <protection/>
    </xf>
    <xf numFmtId="0" fontId="7" fillId="37" borderId="132" xfId="56" applyFont="1" applyFill="1" applyBorder="1" applyAlignment="1">
      <alignment horizontal="center" vertical="center" wrapText="1"/>
      <protection/>
    </xf>
    <xf numFmtId="0" fontId="7" fillId="37" borderId="133" xfId="56" applyFont="1" applyFill="1" applyBorder="1" applyAlignment="1">
      <alignment horizontal="center" vertical="center" wrapText="1"/>
      <protection/>
    </xf>
    <xf numFmtId="0" fontId="7" fillId="37" borderId="138" xfId="56" applyFont="1" applyFill="1" applyBorder="1" applyAlignment="1">
      <alignment horizontal="center" vertical="center" wrapText="1"/>
      <protection/>
    </xf>
    <xf numFmtId="0" fontId="7" fillId="37" borderId="135" xfId="56" applyFont="1" applyFill="1" applyBorder="1" applyAlignment="1">
      <alignment horizontal="center" vertical="center" wrapText="1"/>
      <protection/>
    </xf>
    <xf numFmtId="0" fontId="7" fillId="37" borderId="136" xfId="56" applyFont="1" applyFill="1" applyBorder="1" applyAlignment="1">
      <alignment horizontal="center" vertical="center" wrapText="1"/>
      <protection/>
    </xf>
    <xf numFmtId="0" fontId="7" fillId="37" borderId="139" xfId="56" applyFont="1" applyFill="1" applyBorder="1" applyAlignment="1">
      <alignment horizontal="center" vertical="center" wrapText="1"/>
      <protection/>
    </xf>
    <xf numFmtId="0" fontId="4" fillId="37" borderId="132" xfId="56" applyFont="1" applyFill="1" applyBorder="1" applyAlignment="1">
      <alignment horizontal="center" vertical="center" wrapText="1" readingOrder="2"/>
      <protection/>
    </xf>
    <xf numFmtId="0" fontId="4" fillId="37" borderId="133" xfId="56" applyFont="1" applyFill="1" applyBorder="1" applyAlignment="1">
      <alignment horizontal="center" vertical="center" wrapText="1" readingOrder="2"/>
      <protection/>
    </xf>
    <xf numFmtId="0" fontId="4" fillId="37" borderId="138" xfId="56" applyFont="1" applyFill="1" applyBorder="1" applyAlignment="1">
      <alignment horizontal="center" vertical="center" wrapText="1" readingOrder="2"/>
      <protection/>
    </xf>
    <xf numFmtId="0" fontId="4" fillId="37" borderId="135" xfId="56" applyFont="1" applyFill="1" applyBorder="1" applyAlignment="1">
      <alignment horizontal="center" vertical="center" wrapText="1" readingOrder="2"/>
      <protection/>
    </xf>
    <xf numFmtId="0" fontId="4" fillId="37" borderId="136" xfId="56" applyFont="1" applyFill="1" applyBorder="1" applyAlignment="1">
      <alignment horizontal="center" vertical="center" wrapText="1" readingOrder="2"/>
      <protection/>
    </xf>
    <xf numFmtId="0" fontId="4" fillId="37" borderId="139" xfId="56" applyFont="1" applyFill="1" applyBorder="1" applyAlignment="1">
      <alignment horizontal="center" vertical="center" wrapText="1" readingOrder="2"/>
      <protection/>
    </xf>
    <xf numFmtId="167" fontId="32" fillId="33" borderId="0" xfId="0" applyNumberFormat="1" applyFont="1" applyFill="1" applyAlignment="1">
      <alignment horizontal="right" vertical="center" wrapText="1" readingOrder="2"/>
    </xf>
    <xf numFmtId="0" fontId="7" fillId="37" borderId="130" xfId="56" applyFont="1" applyFill="1" applyBorder="1" applyAlignment="1">
      <alignment horizontal="center" vertical="center" wrapText="1"/>
      <protection/>
    </xf>
    <xf numFmtId="0" fontId="7" fillId="37" borderId="129" xfId="56" applyFont="1" applyFill="1" applyBorder="1" applyAlignment="1">
      <alignment horizontal="center" vertical="center" wrapText="1"/>
      <protection/>
    </xf>
    <xf numFmtId="0" fontId="7" fillId="37" borderId="131" xfId="56" applyFont="1" applyFill="1" applyBorder="1" applyAlignment="1">
      <alignment horizontal="center" vertical="center" wrapText="1"/>
      <protection/>
    </xf>
    <xf numFmtId="0" fontId="7" fillId="37" borderId="72" xfId="56" applyFont="1" applyFill="1" applyBorder="1" applyAlignment="1">
      <alignment horizontal="center" vertical="center" wrapText="1"/>
      <protection/>
    </xf>
    <xf numFmtId="0" fontId="7" fillId="37" borderId="125" xfId="56" applyFont="1" applyFill="1" applyBorder="1" applyAlignment="1">
      <alignment horizontal="center" vertical="center" wrapText="1"/>
      <protection/>
    </xf>
    <xf numFmtId="0" fontId="7" fillId="37" borderId="94" xfId="56" applyFont="1" applyFill="1" applyBorder="1" applyAlignment="1">
      <alignment horizontal="center" vertical="center" wrapText="1"/>
      <protection/>
    </xf>
    <xf numFmtId="0" fontId="7" fillId="37" borderId="75" xfId="56" applyFont="1" applyFill="1" applyBorder="1" applyAlignment="1">
      <alignment horizontal="center" vertical="center" wrapText="1"/>
      <protection/>
    </xf>
    <xf numFmtId="0" fontId="7" fillId="37" borderId="140" xfId="56" applyFont="1" applyFill="1" applyBorder="1" applyAlignment="1">
      <alignment horizontal="center" vertical="center" wrapText="1"/>
      <protection/>
    </xf>
    <xf numFmtId="0" fontId="167" fillId="0" borderId="0" xfId="56" applyFont="1" applyAlignment="1">
      <alignment horizontal="center" vertical="center"/>
      <protection/>
    </xf>
    <xf numFmtId="3" fontId="152" fillId="33" borderId="45" xfId="56" applyNumberFormat="1" applyFont="1" applyFill="1" applyBorder="1" applyAlignment="1">
      <alignment horizontal="center" vertical="center" wrapText="1"/>
      <protection/>
    </xf>
    <xf numFmtId="3" fontId="152" fillId="33" borderId="23" xfId="56" applyNumberFormat="1" applyFont="1" applyFill="1" applyBorder="1" applyAlignment="1">
      <alignment horizontal="center" vertical="center" wrapText="1"/>
      <protection/>
    </xf>
    <xf numFmtId="3" fontId="152" fillId="33" borderId="78" xfId="56" applyNumberFormat="1" applyFont="1" applyFill="1" applyBorder="1" applyAlignment="1">
      <alignment horizontal="center" vertical="center" wrapText="1"/>
      <protection/>
    </xf>
    <xf numFmtId="0" fontId="4" fillId="7" borderId="132" xfId="56" applyFont="1" applyFill="1" applyBorder="1" applyAlignment="1">
      <alignment horizontal="center" vertical="center" wrapText="1"/>
      <protection/>
    </xf>
    <xf numFmtId="0" fontId="4" fillId="7" borderId="133" xfId="56" applyFont="1" applyFill="1" applyBorder="1" applyAlignment="1">
      <alignment horizontal="center" vertical="center" wrapText="1"/>
      <protection/>
    </xf>
    <xf numFmtId="0" fontId="4" fillId="7" borderId="138" xfId="56" applyFont="1" applyFill="1" applyBorder="1" applyAlignment="1">
      <alignment horizontal="center" vertical="center" wrapText="1"/>
      <protection/>
    </xf>
    <xf numFmtId="0" fontId="4" fillId="7" borderId="94" xfId="56" applyFont="1" applyFill="1" applyBorder="1" applyAlignment="1">
      <alignment horizontal="center" vertical="center" wrapText="1" readingOrder="2"/>
      <protection/>
    </xf>
    <xf numFmtId="0" fontId="4" fillId="7" borderId="126" xfId="56" applyFont="1" applyFill="1" applyBorder="1" applyAlignment="1">
      <alignment horizontal="center" vertical="center" wrapText="1" readingOrder="2"/>
      <protection/>
    </xf>
    <xf numFmtId="0" fontId="4" fillId="7" borderId="125" xfId="56" applyFont="1" applyFill="1" applyBorder="1" applyAlignment="1">
      <alignment horizontal="center" vertical="center" wrapText="1" readingOrder="2"/>
      <protection/>
    </xf>
    <xf numFmtId="0" fontId="4" fillId="7" borderId="141" xfId="56" applyFont="1" applyFill="1" applyBorder="1" applyAlignment="1">
      <alignment horizontal="center" vertical="center" wrapText="1" readingOrder="2"/>
      <protection/>
    </xf>
    <xf numFmtId="10" fontId="7" fillId="7" borderId="123" xfId="56" applyNumberFormat="1" applyFont="1" applyFill="1" applyBorder="1" applyAlignment="1">
      <alignment horizontal="center" vertical="center" wrapText="1"/>
      <protection/>
    </xf>
    <xf numFmtId="10" fontId="7" fillId="7" borderId="124" xfId="56" applyNumberFormat="1" applyFont="1" applyFill="1" applyBorder="1" applyAlignment="1">
      <alignment horizontal="center" vertical="center" wrapText="1"/>
      <protection/>
    </xf>
    <xf numFmtId="0" fontId="134" fillId="7" borderId="142" xfId="0" applyFont="1" applyFill="1" applyBorder="1" applyAlignment="1">
      <alignment horizontal="center" vertical="center"/>
    </xf>
    <xf numFmtId="0" fontId="134" fillId="7" borderId="143" xfId="0" applyFont="1" applyFill="1" applyBorder="1" applyAlignment="1">
      <alignment horizontal="center" vertical="center"/>
    </xf>
    <xf numFmtId="0" fontId="134" fillId="7" borderId="144" xfId="0" applyFont="1" applyFill="1" applyBorder="1" applyAlignment="1">
      <alignment horizontal="center" vertical="center"/>
    </xf>
    <xf numFmtId="0" fontId="134" fillId="5" borderId="101" xfId="0" applyFont="1" applyFill="1" applyBorder="1" applyAlignment="1">
      <alignment horizontal="center" vertical="center"/>
    </xf>
    <xf numFmtId="0" fontId="134" fillId="5" borderId="108" xfId="0" applyFont="1" applyFill="1" applyBorder="1" applyAlignment="1">
      <alignment horizontal="center" vertical="center"/>
    </xf>
    <xf numFmtId="0" fontId="134" fillId="5" borderId="67" xfId="0" applyFont="1" applyFill="1" applyBorder="1" applyAlignment="1">
      <alignment horizontal="center" vertical="center"/>
    </xf>
    <xf numFmtId="0" fontId="134" fillId="5" borderId="100" xfId="0" applyFont="1" applyFill="1" applyBorder="1" applyAlignment="1">
      <alignment horizontal="center" vertical="center"/>
    </xf>
    <xf numFmtId="0" fontId="134" fillId="0" borderId="112" xfId="0" applyFont="1" applyBorder="1" applyAlignment="1">
      <alignment horizontal="center" vertical="center"/>
    </xf>
    <xf numFmtId="0" fontId="134" fillId="0" borderId="23" xfId="0" applyFont="1" applyBorder="1" applyAlignment="1">
      <alignment horizontal="center" vertical="center"/>
    </xf>
    <xf numFmtId="0" fontId="134" fillId="0" borderId="113" xfId="0" applyFont="1" applyBorder="1" applyAlignment="1">
      <alignment horizontal="center" vertical="center"/>
    </xf>
    <xf numFmtId="0" fontId="134" fillId="5" borderId="109" xfId="0" applyFont="1" applyFill="1" applyBorder="1" applyAlignment="1">
      <alignment horizontal="center" vertical="center"/>
    </xf>
    <xf numFmtId="0" fontId="32" fillId="33" borderId="0" xfId="0" applyFont="1" applyFill="1" applyAlignment="1">
      <alignment horizontal="right" vertical="center"/>
    </xf>
    <xf numFmtId="0" fontId="168" fillId="33" borderId="19" xfId="0" applyFont="1" applyFill="1" applyBorder="1" applyAlignment="1">
      <alignment horizontal="right" vertical="center"/>
    </xf>
    <xf numFmtId="0" fontId="168" fillId="33" borderId="108" xfId="0" applyFont="1" applyFill="1" applyBorder="1" applyAlignment="1">
      <alignment horizontal="right" vertical="center"/>
    </xf>
    <xf numFmtId="0" fontId="168" fillId="6" borderId="19" xfId="0" applyFont="1" applyFill="1" applyBorder="1" applyAlignment="1">
      <alignment horizontal="right" vertical="center"/>
    </xf>
    <xf numFmtId="0" fontId="168" fillId="6" borderId="108" xfId="0" applyFont="1" applyFill="1" applyBorder="1" applyAlignment="1">
      <alignment horizontal="right" vertical="center"/>
    </xf>
    <xf numFmtId="0" fontId="168" fillId="6" borderId="47" xfId="0" applyFont="1" applyFill="1" applyBorder="1" applyAlignment="1">
      <alignment horizontal="right" vertical="center"/>
    </xf>
    <xf numFmtId="0" fontId="168" fillId="6" borderId="99" xfId="0" applyFont="1" applyFill="1" applyBorder="1" applyAlignment="1">
      <alignment horizontal="right" vertical="center"/>
    </xf>
    <xf numFmtId="0" fontId="144" fillId="34" borderId="44" xfId="0" applyFont="1" applyFill="1" applyBorder="1" applyAlignment="1">
      <alignment horizontal="center" vertical="center"/>
    </xf>
    <xf numFmtId="0" fontId="144" fillId="34" borderId="145" xfId="0" applyFont="1" applyFill="1" applyBorder="1" applyAlignment="1">
      <alignment horizontal="center" vertical="center"/>
    </xf>
    <xf numFmtId="0" fontId="144" fillId="34" borderId="11" xfId="0" applyFont="1" applyFill="1" applyBorder="1" applyAlignment="1">
      <alignment horizontal="center" vertical="center"/>
    </xf>
    <xf numFmtId="0" fontId="144" fillId="34" borderId="30" xfId="0" applyFont="1" applyFill="1" applyBorder="1" applyAlignment="1">
      <alignment horizontal="center" vertical="center"/>
    </xf>
    <xf numFmtId="0" fontId="144" fillId="34" borderId="20" xfId="0" applyFont="1" applyFill="1" applyBorder="1" applyAlignment="1">
      <alignment horizontal="center" vertical="center"/>
    </xf>
    <xf numFmtId="0" fontId="144" fillId="34" borderId="67" xfId="0" applyFont="1" applyFill="1" applyBorder="1" applyAlignment="1">
      <alignment horizontal="center" vertical="center"/>
    </xf>
    <xf numFmtId="0" fontId="144" fillId="34" borderId="12" xfId="0" applyFont="1" applyFill="1" applyBorder="1" applyAlignment="1">
      <alignment horizontal="center" vertical="center"/>
    </xf>
    <xf numFmtId="0" fontId="144" fillId="34" borderId="21" xfId="0" applyFont="1" applyFill="1" applyBorder="1" applyAlignment="1">
      <alignment horizontal="center" vertical="center"/>
    </xf>
    <xf numFmtId="3" fontId="31" fillId="6" borderId="51" xfId="0" applyNumberFormat="1" applyFont="1" applyFill="1" applyBorder="1" applyAlignment="1">
      <alignment horizontal="right" vertical="center"/>
    </xf>
    <xf numFmtId="3" fontId="31" fillId="6" borderId="116" xfId="0" applyNumberFormat="1" applyFont="1" applyFill="1" applyBorder="1" applyAlignment="1">
      <alignment horizontal="right" vertical="center"/>
    </xf>
    <xf numFmtId="3" fontId="31" fillId="33" borderId="19" xfId="0" applyNumberFormat="1" applyFont="1" applyFill="1" applyBorder="1" applyAlignment="1">
      <alignment horizontal="right" vertical="center"/>
    </xf>
    <xf numFmtId="3" fontId="31" fillId="33" borderId="108" xfId="0" applyNumberFormat="1" applyFont="1" applyFill="1" applyBorder="1" applyAlignment="1">
      <alignment horizontal="right" vertical="center"/>
    </xf>
    <xf numFmtId="0" fontId="144" fillId="34" borderId="19" xfId="0" applyFont="1" applyFill="1" applyBorder="1" applyAlignment="1">
      <alignment horizontal="center" vertical="center"/>
    </xf>
    <xf numFmtId="0" fontId="144" fillId="34" borderId="10" xfId="0" applyFont="1" applyFill="1" applyBorder="1" applyAlignment="1">
      <alignment horizontal="center" vertical="center" wrapText="1"/>
    </xf>
    <xf numFmtId="0" fontId="144" fillId="34" borderId="146" xfId="0" applyFont="1" applyFill="1" applyBorder="1" applyAlignment="1">
      <alignment horizontal="center" vertical="center" wrapText="1"/>
    </xf>
    <xf numFmtId="0" fontId="144" fillId="34" borderId="34" xfId="0" applyFont="1" applyFill="1" applyBorder="1" applyAlignment="1">
      <alignment horizontal="center" vertical="center" wrapText="1"/>
    </xf>
    <xf numFmtId="0" fontId="144" fillId="34" borderId="85" xfId="0" applyFont="1" applyFill="1" applyBorder="1" applyAlignment="1">
      <alignment horizontal="center" vertical="center" wrapText="1"/>
    </xf>
    <xf numFmtId="0" fontId="34" fillId="33" borderId="0" xfId="0"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zhila\Application%20Data\Microsoft\Excel\&#1606;&#1607;&#1575;&#1574;&#1610;%20&#1605;&#1608;&#1585;&#1583;%20&#1575;&#1587;&#1578;&#1601;&#1575;&#1583;&#1607;%20&#1578;&#1593;&#1583;&#1610;&#1604;%20&#1587;&#1608;&#1605;%20%20&#1576;&#1608;&#1583;&#1580;&#1607;%2093%20(versio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صفحه اول"/>
      <sheetName val="صورت سودوزيان "/>
      <sheetName val="اهم برنامه ها و مفروضات"/>
      <sheetName val="اولین پیش بینی و عملکرد واقعی"/>
      <sheetName val="Sheet2"/>
      <sheetName val="فروش و بهاي تمام شده "/>
      <sheetName val="مخارج پروژه "/>
      <sheetName val="baha"/>
      <sheetName val="هزينه هاي فروش "/>
      <sheetName val="اداری و عمومی"/>
      <sheetName val="پرسنل اداري و عمومي "/>
      <sheetName val="سایر درآمدهای عملیاتی"/>
      <sheetName val="هزینه مالی و تسهیلات "/>
      <sheetName val="غیر عملیاتی"/>
      <sheetName val="صورت منابع و مصارف نقدی"/>
      <sheetName val="Sheet1"/>
    </sheetNames>
    <sheetDataSet>
      <sheetData sheetId="5">
        <row r="9">
          <cell r="T9">
            <v>2286</v>
          </cell>
        </row>
        <row r="11">
          <cell r="T11">
            <v>2188</v>
          </cell>
        </row>
        <row r="12">
          <cell r="T12">
            <v>1795</v>
          </cell>
        </row>
        <row r="13">
          <cell r="T13">
            <v>4827</v>
          </cell>
        </row>
        <row r="14">
          <cell r="T14">
            <v>1271</v>
          </cell>
        </row>
        <row r="15">
          <cell r="T15">
            <v>271</v>
          </cell>
        </row>
        <row r="16">
          <cell r="T16">
            <v>1175</v>
          </cell>
        </row>
        <row r="17">
          <cell r="T17">
            <v>160</v>
          </cell>
        </row>
        <row r="18">
          <cell r="T18">
            <v>9311</v>
          </cell>
        </row>
        <row r="19">
          <cell r="T19">
            <v>45447</v>
          </cell>
        </row>
        <row r="20">
          <cell r="T20">
            <v>84568</v>
          </cell>
        </row>
        <row r="21">
          <cell r="T21">
            <v>47648</v>
          </cell>
        </row>
        <row r="22">
          <cell r="T22">
            <v>6076</v>
          </cell>
        </row>
        <row r="23">
          <cell r="T23">
            <v>964</v>
          </cell>
        </row>
        <row r="24">
          <cell r="T24">
            <v>1290</v>
          </cell>
        </row>
        <row r="25">
          <cell r="T25">
            <v>1125</v>
          </cell>
        </row>
        <row r="26">
          <cell r="T26">
            <v>13159</v>
          </cell>
        </row>
        <row r="27">
          <cell r="T27">
            <v>326</v>
          </cell>
        </row>
        <row r="28">
          <cell r="T28">
            <v>846</v>
          </cell>
        </row>
        <row r="29">
          <cell r="T29">
            <v>835</v>
          </cell>
        </row>
        <row r="30">
          <cell r="T30">
            <v>2493</v>
          </cell>
        </row>
        <row r="32">
          <cell r="T32">
            <v>22067</v>
          </cell>
        </row>
        <row r="34">
          <cell r="T34">
            <v>1283</v>
          </cell>
        </row>
        <row r="38">
          <cell r="T38">
            <v>428</v>
          </cell>
        </row>
        <row r="39">
          <cell r="T39">
            <v>1321</v>
          </cell>
        </row>
        <row r="40">
          <cell r="T40">
            <v>0</v>
          </cell>
        </row>
        <row r="42">
          <cell r="T42">
            <v>24080</v>
          </cell>
        </row>
        <row r="44">
          <cell r="T44">
            <v>21317</v>
          </cell>
        </row>
        <row r="46">
          <cell r="T46">
            <v>49933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X24"/>
  <sheetViews>
    <sheetView rightToLeft="1" zoomScale="55" zoomScaleNormal="55" zoomScalePageLayoutView="0" workbookViewId="0" topLeftCell="A1">
      <selection activeCell="I29" sqref="I29"/>
    </sheetView>
  </sheetViews>
  <sheetFormatPr defaultColWidth="9.140625" defaultRowHeight="12.75"/>
  <cols>
    <col min="1" max="1" width="3.57421875" style="389" customWidth="1"/>
    <col min="2" max="6" width="10.140625" style="389" customWidth="1"/>
    <col min="7" max="9" width="9.140625" style="389" customWidth="1"/>
    <col min="10" max="10" width="11.7109375" style="389" customWidth="1"/>
    <col min="11" max="15" width="9.140625" style="389" customWidth="1"/>
    <col min="16" max="16" width="13.00390625" style="389" customWidth="1"/>
    <col min="17" max="16384" width="9.140625" style="389" customWidth="1"/>
  </cols>
  <sheetData>
    <row r="1" spans="1:19" ht="30">
      <c r="A1" s="489" t="s">
        <v>226</v>
      </c>
      <c r="B1" s="489"/>
      <c r="C1" s="489"/>
      <c r="D1" s="489"/>
      <c r="E1" s="489"/>
      <c r="F1" s="489"/>
      <c r="G1" s="489"/>
      <c r="H1" s="489"/>
      <c r="I1" s="489"/>
      <c r="J1" s="489"/>
      <c r="K1" s="489"/>
      <c r="L1" s="489"/>
      <c r="M1" s="489"/>
      <c r="N1" s="489"/>
      <c r="O1" s="489"/>
      <c r="P1" s="489"/>
      <c r="Q1" s="489"/>
      <c r="R1" s="489"/>
      <c r="S1" s="489"/>
    </row>
    <row r="2" spans="1:19" ht="30">
      <c r="A2" s="489" t="s">
        <v>126</v>
      </c>
      <c r="B2" s="489"/>
      <c r="C2" s="489"/>
      <c r="D2" s="489"/>
      <c r="E2" s="489"/>
      <c r="F2" s="489"/>
      <c r="G2" s="489"/>
      <c r="H2" s="489"/>
      <c r="I2" s="489"/>
      <c r="J2" s="489"/>
      <c r="K2" s="489"/>
      <c r="L2" s="489"/>
      <c r="M2" s="489"/>
      <c r="N2" s="489"/>
      <c r="O2" s="489"/>
      <c r="P2" s="489"/>
      <c r="Q2" s="489"/>
      <c r="R2" s="489"/>
      <c r="S2" s="489"/>
    </row>
    <row r="3" spans="1:24" ht="54" customHeight="1">
      <c r="A3" s="490" t="s">
        <v>197</v>
      </c>
      <c r="B3" s="490"/>
      <c r="C3" s="490"/>
      <c r="D3" s="490"/>
      <c r="E3" s="490"/>
      <c r="F3" s="490"/>
      <c r="G3" s="490"/>
      <c r="H3" s="490"/>
      <c r="I3" s="490"/>
      <c r="J3" s="490"/>
      <c r="K3" s="490"/>
      <c r="L3" s="490"/>
      <c r="M3" s="490"/>
      <c r="N3" s="490"/>
      <c r="O3" s="490"/>
      <c r="P3" s="490"/>
      <c r="Q3" s="490"/>
      <c r="R3" s="490"/>
      <c r="S3" s="490"/>
      <c r="T3" s="390"/>
      <c r="U3" s="390"/>
      <c r="V3" s="390"/>
      <c r="W3" s="390"/>
      <c r="X3" s="390"/>
    </row>
    <row r="4" spans="1:19" ht="40.5" customHeight="1">
      <c r="A4" s="391" t="s">
        <v>199</v>
      </c>
      <c r="B4" s="491" t="s">
        <v>200</v>
      </c>
      <c r="C4" s="491"/>
      <c r="D4" s="491"/>
      <c r="E4" s="491"/>
      <c r="F4" s="491"/>
      <c r="G4" s="491"/>
      <c r="H4" s="491"/>
      <c r="I4" s="491"/>
      <c r="J4" s="491"/>
      <c r="K4" s="392"/>
      <c r="L4" s="392"/>
      <c r="M4" s="392"/>
      <c r="N4" s="392"/>
      <c r="O4" s="392"/>
      <c r="P4" s="392"/>
      <c r="Q4" s="392"/>
      <c r="R4" s="392"/>
      <c r="S4" s="392"/>
    </row>
    <row r="5" spans="1:19" ht="27.75">
      <c r="A5" s="393"/>
      <c r="B5" s="488" t="s">
        <v>201</v>
      </c>
      <c r="C5" s="488"/>
      <c r="D5" s="492"/>
      <c r="E5" s="492"/>
      <c r="F5" s="492"/>
      <c r="G5" s="492"/>
      <c r="H5" s="492"/>
      <c r="I5" s="492"/>
      <c r="J5" s="492"/>
      <c r="K5" s="488"/>
      <c r="L5" s="488"/>
      <c r="M5" s="488"/>
      <c r="N5" s="488"/>
      <c r="O5" s="488"/>
      <c r="P5" s="488"/>
      <c r="Q5" s="488"/>
      <c r="R5" s="488"/>
      <c r="S5" s="488"/>
    </row>
    <row r="6" spans="1:19" ht="24">
      <c r="A6" s="394"/>
      <c r="B6" s="392"/>
      <c r="C6" s="392"/>
      <c r="D6" s="392"/>
      <c r="E6" s="392"/>
      <c r="F6" s="392"/>
      <c r="G6" s="392"/>
      <c r="H6" s="392"/>
      <c r="I6" s="392"/>
      <c r="J6" s="392"/>
      <c r="K6" s="392"/>
      <c r="L6" s="392"/>
      <c r="M6" s="392"/>
      <c r="N6" s="392"/>
      <c r="O6" s="392"/>
      <c r="P6" s="392"/>
      <c r="Q6" s="392"/>
      <c r="R6" s="392"/>
      <c r="S6" s="392"/>
    </row>
    <row r="7" spans="1:19" ht="30">
      <c r="A7" s="391" t="s">
        <v>202</v>
      </c>
      <c r="B7" s="395" t="s">
        <v>203</v>
      </c>
      <c r="C7" s="396"/>
      <c r="D7" s="396"/>
      <c r="E7" s="396"/>
      <c r="F7" s="397"/>
      <c r="G7" s="398"/>
      <c r="H7" s="398"/>
      <c r="I7" s="398"/>
      <c r="J7" s="398"/>
      <c r="K7" s="398"/>
      <c r="L7" s="398"/>
      <c r="M7" s="398"/>
      <c r="N7" s="398"/>
      <c r="O7" s="398"/>
      <c r="P7" s="398"/>
      <c r="Q7" s="398"/>
      <c r="R7" s="398"/>
      <c r="S7" s="399"/>
    </row>
    <row r="8" spans="1:19" ht="27.75">
      <c r="A8" s="400"/>
      <c r="B8" s="488" t="s">
        <v>204</v>
      </c>
      <c r="C8" s="488"/>
      <c r="D8" s="488"/>
      <c r="E8" s="488"/>
      <c r="F8" s="488"/>
      <c r="G8" s="488"/>
      <c r="H8" s="488"/>
      <c r="I8" s="488"/>
      <c r="J8" s="488"/>
      <c r="K8" s="488"/>
      <c r="L8" s="488"/>
      <c r="M8" s="488"/>
      <c r="N8" s="488"/>
      <c r="O8" s="488"/>
      <c r="P8" s="488"/>
      <c r="Q8" s="488"/>
      <c r="R8" s="488"/>
      <c r="S8" s="488"/>
    </row>
    <row r="9" spans="1:19" ht="24">
      <c r="A9" s="400" t="s">
        <v>205</v>
      </c>
      <c r="B9" s="399" t="s">
        <v>206</v>
      </c>
      <c r="C9" s="398"/>
      <c r="D9" s="398"/>
      <c r="E9" s="397"/>
      <c r="F9" s="397"/>
      <c r="G9" s="398"/>
      <c r="H9" s="398"/>
      <c r="I9" s="398"/>
      <c r="J9" s="398"/>
      <c r="K9" s="398"/>
      <c r="L9" s="398"/>
      <c r="M9" s="398"/>
      <c r="N9" s="398"/>
      <c r="O9" s="398"/>
      <c r="P9" s="398"/>
      <c r="Q9" s="398"/>
      <c r="R9" s="398"/>
      <c r="S9" s="399"/>
    </row>
    <row r="10" spans="1:19" ht="24">
      <c r="A10" s="400" t="s">
        <v>207</v>
      </c>
      <c r="B10" s="397" t="s">
        <v>208</v>
      </c>
      <c r="C10" s="398"/>
      <c r="D10" s="398"/>
      <c r="E10" s="398"/>
      <c r="F10" s="397"/>
      <c r="G10" s="398"/>
      <c r="H10" s="398"/>
      <c r="I10" s="398"/>
      <c r="J10" s="398"/>
      <c r="K10" s="398"/>
      <c r="L10" s="398"/>
      <c r="M10" s="398"/>
      <c r="N10" s="398"/>
      <c r="O10" s="398"/>
      <c r="P10" s="398"/>
      <c r="Q10" s="398"/>
      <c r="R10" s="398"/>
      <c r="S10" s="399"/>
    </row>
    <row r="11" spans="1:19" ht="24">
      <c r="A11" s="400"/>
      <c r="B11" s="401" t="s">
        <v>209</v>
      </c>
      <c r="C11" s="398"/>
      <c r="D11" s="398"/>
      <c r="E11" s="398"/>
      <c r="F11" s="397"/>
      <c r="G11" s="398"/>
      <c r="H11" s="398"/>
      <c r="I11" s="398"/>
      <c r="J11" s="398"/>
      <c r="K11" s="398"/>
      <c r="L11" s="398"/>
      <c r="M11" s="398"/>
      <c r="N11" s="398"/>
      <c r="O11" s="398"/>
      <c r="P11" s="398"/>
      <c r="Q11" s="398"/>
      <c r="R11" s="398"/>
      <c r="S11" s="399"/>
    </row>
    <row r="12" spans="1:19" ht="24">
      <c r="A12" s="402" t="s">
        <v>210</v>
      </c>
      <c r="B12" s="403" t="s">
        <v>211</v>
      </c>
      <c r="C12" s="399"/>
      <c r="D12" s="399"/>
      <c r="E12" s="399"/>
      <c r="F12" s="404"/>
      <c r="G12" s="405"/>
      <c r="H12" s="405"/>
      <c r="I12" s="405"/>
      <c r="J12" s="406"/>
      <c r="K12" s="405"/>
      <c r="L12" s="405"/>
      <c r="M12" s="406"/>
      <c r="N12" s="406"/>
      <c r="O12" s="407"/>
      <c r="P12" s="406"/>
      <c r="Q12" s="406"/>
      <c r="R12" s="407"/>
      <c r="S12" s="406"/>
    </row>
    <row r="13" spans="1:19" ht="49.5">
      <c r="A13" s="408"/>
      <c r="B13" s="409"/>
      <c r="C13" s="410"/>
      <c r="D13" s="410"/>
      <c r="E13" s="410"/>
      <c r="F13" s="411"/>
      <c r="G13" s="412"/>
      <c r="H13" s="412"/>
      <c r="I13" s="412"/>
      <c r="J13" s="413" t="s">
        <v>212</v>
      </c>
      <c r="K13" s="412"/>
      <c r="L13" s="412"/>
      <c r="M13" s="496" t="s">
        <v>213</v>
      </c>
      <c r="N13" s="496"/>
      <c r="O13" s="411"/>
      <c r="P13" s="414" t="s">
        <v>214</v>
      </c>
      <c r="Q13" s="415"/>
      <c r="R13" s="411"/>
      <c r="S13" s="410"/>
    </row>
    <row r="14" spans="1:19" ht="24">
      <c r="A14" s="400"/>
      <c r="B14" s="401"/>
      <c r="C14" s="398"/>
      <c r="D14" s="398"/>
      <c r="E14" s="497"/>
      <c r="F14" s="497"/>
      <c r="G14" s="497"/>
      <c r="H14" s="405"/>
      <c r="I14" s="405"/>
      <c r="J14" s="406"/>
      <c r="K14" s="405"/>
      <c r="L14" s="405"/>
      <c r="M14" s="498"/>
      <c r="N14" s="498"/>
      <c r="O14" s="407"/>
      <c r="P14" s="406"/>
      <c r="Q14" s="416"/>
      <c r="R14" s="407"/>
      <c r="S14" s="399"/>
    </row>
    <row r="15" spans="1:19" ht="24">
      <c r="A15" s="402" t="s">
        <v>215</v>
      </c>
      <c r="B15" s="499" t="s">
        <v>216</v>
      </c>
      <c r="C15" s="499"/>
      <c r="D15" s="499"/>
      <c r="E15" s="499"/>
      <c r="F15" s="499"/>
      <c r="G15" s="499"/>
      <c r="H15" s="405"/>
      <c r="I15" s="405"/>
      <c r="J15" s="406"/>
      <c r="K15" s="405"/>
      <c r="L15" s="405"/>
      <c r="M15" s="498"/>
      <c r="N15" s="498"/>
      <c r="O15" s="407"/>
      <c r="P15" s="406"/>
      <c r="Q15" s="416"/>
      <c r="R15" s="407"/>
      <c r="S15" s="399"/>
    </row>
    <row r="16" spans="1:19" ht="24">
      <c r="A16" s="402" t="s">
        <v>217</v>
      </c>
      <c r="B16" s="403" t="s">
        <v>218</v>
      </c>
      <c r="C16" s="399"/>
      <c r="D16" s="399"/>
      <c r="E16" s="399"/>
      <c r="F16" s="404"/>
      <c r="G16" s="417"/>
      <c r="H16" s="405"/>
      <c r="I16" s="405"/>
      <c r="J16" s="406"/>
      <c r="K16" s="405"/>
      <c r="L16" s="405"/>
      <c r="M16" s="406"/>
      <c r="N16" s="406"/>
      <c r="O16" s="407"/>
      <c r="P16" s="406"/>
      <c r="Q16" s="406"/>
      <c r="R16" s="407"/>
      <c r="S16" s="406"/>
    </row>
    <row r="17" spans="1:19" ht="24.75">
      <c r="A17" s="400" t="s">
        <v>219</v>
      </c>
      <c r="B17" s="499" t="s">
        <v>220</v>
      </c>
      <c r="C17" s="499"/>
      <c r="D17" s="499"/>
      <c r="E17" s="499"/>
      <c r="F17" s="499"/>
      <c r="G17" s="499"/>
      <c r="H17" s="499"/>
      <c r="I17" s="412"/>
      <c r="J17" s="411"/>
      <c r="K17" s="412"/>
      <c r="L17" s="412"/>
      <c r="M17" s="493"/>
      <c r="N17" s="493"/>
      <c r="O17" s="411"/>
      <c r="P17" s="493"/>
      <c r="Q17" s="493"/>
      <c r="R17" s="411"/>
      <c r="S17" s="411"/>
    </row>
    <row r="18" spans="1:19" ht="24">
      <c r="A18" s="391" t="s">
        <v>221</v>
      </c>
      <c r="B18" s="397" t="s">
        <v>222</v>
      </c>
      <c r="C18" s="403"/>
      <c r="D18" s="403"/>
      <c r="E18" s="403"/>
      <c r="F18" s="403"/>
      <c r="G18" s="403"/>
      <c r="H18" s="403"/>
      <c r="I18" s="403"/>
      <c r="J18" s="403"/>
      <c r="K18" s="399"/>
      <c r="L18" s="399"/>
      <c r="M18" s="399"/>
      <c r="N18" s="399"/>
      <c r="O18" s="399"/>
      <c r="P18" s="399"/>
      <c r="Q18" s="399"/>
      <c r="R18" s="399"/>
      <c r="S18" s="399"/>
    </row>
    <row r="19" spans="1:19" ht="26.25">
      <c r="A19" s="418"/>
      <c r="B19" s="494" t="s">
        <v>223</v>
      </c>
      <c r="C19" s="494"/>
      <c r="D19" s="494"/>
      <c r="E19" s="494"/>
      <c r="F19" s="494"/>
      <c r="G19" s="494"/>
      <c r="H19" s="494"/>
      <c r="I19" s="494"/>
      <c r="J19" s="494"/>
      <c r="K19" s="494"/>
      <c r="L19" s="494"/>
      <c r="M19" s="494"/>
      <c r="N19" s="494"/>
      <c r="O19" s="494"/>
      <c r="P19" s="494"/>
      <c r="Q19" s="494"/>
      <c r="R19" s="494"/>
      <c r="S19" s="410"/>
    </row>
    <row r="20" spans="1:19" ht="26.25">
      <c r="A20" s="419" t="s">
        <v>224</v>
      </c>
      <c r="B20" s="397" t="s">
        <v>225</v>
      </c>
      <c r="C20" s="420"/>
      <c r="D20" s="397"/>
      <c r="E20" s="397"/>
      <c r="F20" s="401"/>
      <c r="G20" s="397"/>
      <c r="H20" s="421"/>
      <c r="I20" s="421"/>
      <c r="J20" s="421"/>
      <c r="K20" s="410"/>
      <c r="L20" s="410"/>
      <c r="M20" s="410"/>
      <c r="N20" s="410"/>
      <c r="O20" s="410"/>
      <c r="P20" s="410"/>
      <c r="Q20" s="410"/>
      <c r="R20" s="410"/>
      <c r="S20" s="410"/>
    </row>
    <row r="21" spans="1:19" ht="26.25">
      <c r="A21" s="418"/>
      <c r="B21" s="421"/>
      <c r="C21" s="421"/>
      <c r="D21" s="421"/>
      <c r="E21" s="421"/>
      <c r="F21" s="409"/>
      <c r="G21" s="421"/>
      <c r="H21" s="421"/>
      <c r="I21" s="421"/>
      <c r="J21" s="421"/>
      <c r="K21" s="410"/>
      <c r="L21" s="410"/>
      <c r="M21" s="410"/>
      <c r="N21" s="410"/>
      <c r="O21" s="410"/>
      <c r="P21" s="410"/>
      <c r="Q21" s="410"/>
      <c r="R21" s="410"/>
      <c r="S21" s="410"/>
    </row>
    <row r="22" spans="1:19" ht="26.25">
      <c r="A22" s="418"/>
      <c r="B22" s="422"/>
      <c r="C22" s="421"/>
      <c r="D22" s="421"/>
      <c r="E22" s="421"/>
      <c r="F22" s="409"/>
      <c r="G22" s="421"/>
      <c r="H22" s="421"/>
      <c r="I22" s="421"/>
      <c r="J22" s="421"/>
      <c r="K22" s="410"/>
      <c r="L22" s="410"/>
      <c r="M22" s="410"/>
      <c r="N22" s="410"/>
      <c r="O22" s="410"/>
      <c r="P22" s="410"/>
      <c r="Q22" s="410"/>
      <c r="R22" s="410"/>
      <c r="S22" s="410"/>
    </row>
    <row r="23" spans="1:19" ht="26.25">
      <c r="A23" s="418"/>
      <c r="B23" s="421"/>
      <c r="C23" s="421"/>
      <c r="D23" s="421"/>
      <c r="E23" s="421"/>
      <c r="F23" s="409"/>
      <c r="G23" s="421"/>
      <c r="H23" s="421"/>
      <c r="I23" s="421"/>
      <c r="J23" s="421"/>
      <c r="K23" s="410"/>
      <c r="L23" s="410"/>
      <c r="M23" s="410"/>
      <c r="N23" s="410"/>
      <c r="O23" s="410"/>
      <c r="P23" s="410"/>
      <c r="Q23" s="410"/>
      <c r="R23" s="410"/>
      <c r="S23" s="410"/>
    </row>
    <row r="24" spans="1:19" ht="24">
      <c r="A24" s="495">
        <v>5</v>
      </c>
      <c r="B24" s="495"/>
      <c r="C24" s="495"/>
      <c r="D24" s="495"/>
      <c r="E24" s="495"/>
      <c r="F24" s="495"/>
      <c r="G24" s="495"/>
      <c r="H24" s="495"/>
      <c r="I24" s="495"/>
      <c r="J24" s="495"/>
      <c r="K24" s="495"/>
      <c r="L24" s="495"/>
      <c r="M24" s="495"/>
      <c r="N24" s="495"/>
      <c r="O24" s="495"/>
      <c r="P24" s="495"/>
      <c r="Q24" s="495"/>
      <c r="R24" s="495"/>
      <c r="S24" s="495"/>
    </row>
  </sheetData>
  <sheetProtection/>
  <mergeCells count="16">
    <mergeCell ref="P17:Q17"/>
    <mergeCell ref="B19:R19"/>
    <mergeCell ref="A24:S24"/>
    <mergeCell ref="M13:N13"/>
    <mergeCell ref="E14:G14"/>
    <mergeCell ref="M14:N14"/>
    <mergeCell ref="B15:G15"/>
    <mergeCell ref="M15:N15"/>
    <mergeCell ref="B17:H17"/>
    <mergeCell ref="M17:N17"/>
    <mergeCell ref="B8:S8"/>
    <mergeCell ref="A1:S1"/>
    <mergeCell ref="A2:S2"/>
    <mergeCell ref="A3:S3"/>
    <mergeCell ref="B4:J4"/>
    <mergeCell ref="B5:S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0"/>
  </sheetPr>
  <dimension ref="A1:J15"/>
  <sheetViews>
    <sheetView rightToLeft="1" view="pageBreakPreview" zoomScale="60" zoomScalePageLayoutView="0" workbookViewId="0" topLeftCell="A1">
      <selection activeCell="D10" sqref="D10"/>
    </sheetView>
  </sheetViews>
  <sheetFormatPr defaultColWidth="9.140625" defaultRowHeight="12.75"/>
  <cols>
    <col min="1" max="1" width="9.140625" style="97" customWidth="1"/>
    <col min="2" max="2" width="9.140625" style="40" customWidth="1"/>
    <col min="3" max="3" width="74.00390625" style="40" customWidth="1"/>
    <col min="4" max="5" width="21.28125" style="97" customWidth="1"/>
    <col min="6" max="8" width="24.421875" style="97" customWidth="1"/>
    <col min="9" max="9" width="23.421875" style="97" customWidth="1"/>
    <col min="10" max="16384" width="9.140625" style="97" customWidth="1"/>
  </cols>
  <sheetData>
    <row r="1" spans="1:10" ht="33.75" customHeight="1">
      <c r="A1" s="500" t="s">
        <v>148</v>
      </c>
      <c r="B1" s="500"/>
      <c r="C1" s="500"/>
      <c r="D1" s="500"/>
      <c r="E1" s="500"/>
      <c r="F1" s="500"/>
      <c r="G1" s="500"/>
      <c r="H1" s="500"/>
      <c r="I1" s="500"/>
      <c r="J1" s="167"/>
    </row>
    <row r="2" spans="1:10" ht="33.75" customHeight="1">
      <c r="A2" s="501" t="s">
        <v>136</v>
      </c>
      <c r="B2" s="501"/>
      <c r="C2" s="501"/>
      <c r="D2" s="501"/>
      <c r="E2" s="501"/>
      <c r="F2" s="501"/>
      <c r="G2" s="501"/>
      <c r="H2" s="501"/>
      <c r="I2" s="501"/>
      <c r="J2" s="168"/>
    </row>
    <row r="3" spans="1:10" ht="39" customHeight="1">
      <c r="A3" s="502" t="s">
        <v>113</v>
      </c>
      <c r="B3" s="502"/>
      <c r="C3" s="502"/>
      <c r="D3" s="502"/>
      <c r="E3" s="502"/>
      <c r="F3" s="502"/>
      <c r="G3" s="502"/>
      <c r="H3" s="502"/>
      <c r="I3" s="502"/>
      <c r="J3" s="169"/>
    </row>
    <row r="5" spans="1:3" s="266" customFormat="1" ht="31.5" customHeight="1">
      <c r="A5" s="674" t="s">
        <v>146</v>
      </c>
      <c r="B5" s="674"/>
      <c r="C5" s="674"/>
    </row>
    <row r="6" spans="2:9" s="51" customFormat="1" ht="21.75" customHeight="1">
      <c r="B6" s="267"/>
      <c r="C6" s="268"/>
      <c r="D6" s="681" t="s">
        <v>41</v>
      </c>
      <c r="E6" s="682"/>
      <c r="F6" s="683"/>
      <c r="G6" s="683"/>
      <c r="H6" s="683"/>
      <c r="I6" s="684"/>
    </row>
    <row r="7" spans="2:9" s="51" customFormat="1" ht="21.75" customHeight="1">
      <c r="B7" s="267"/>
      <c r="C7" s="268"/>
      <c r="D7" s="685"/>
      <c r="E7" s="686"/>
      <c r="F7" s="687"/>
      <c r="G7" s="687"/>
      <c r="H7" s="687"/>
      <c r="I7" s="688"/>
    </row>
    <row r="8" spans="2:9" s="51" customFormat="1" ht="33" customHeight="1">
      <c r="B8" s="267"/>
      <c r="C8" s="268"/>
      <c r="D8" s="693" t="s">
        <v>42</v>
      </c>
      <c r="E8" s="686"/>
      <c r="F8" s="694" t="s">
        <v>43</v>
      </c>
      <c r="G8" s="694" t="s">
        <v>44</v>
      </c>
      <c r="H8" s="694" t="s">
        <v>45</v>
      </c>
      <c r="I8" s="696" t="s">
        <v>2</v>
      </c>
    </row>
    <row r="9" spans="2:9" s="51" customFormat="1" ht="33" customHeight="1">
      <c r="B9" s="269"/>
      <c r="C9" s="270"/>
      <c r="D9" s="294" t="s">
        <v>46</v>
      </c>
      <c r="E9" s="295" t="s">
        <v>39</v>
      </c>
      <c r="F9" s="695"/>
      <c r="G9" s="695"/>
      <c r="H9" s="695"/>
      <c r="I9" s="697"/>
    </row>
    <row r="10" spans="2:9" s="51" customFormat="1" ht="42" customHeight="1">
      <c r="B10" s="689" t="s">
        <v>135</v>
      </c>
      <c r="C10" s="690"/>
      <c r="D10" s="282" t="e">
        <f>-IF(#REF!&lt;=0,#REF!,0)</f>
        <v>#REF!</v>
      </c>
      <c r="E10" s="283" t="e">
        <f>-IF(#REF!&lt;=0,#REF!,0)</f>
        <v>#REF!</v>
      </c>
      <c r="F10" s="283" t="e">
        <f>-IF(#REF!&lt;=0,#REF!,0)</f>
        <v>#REF!</v>
      </c>
      <c r="G10" s="283" t="e">
        <f>-IF(#REF!&lt;=0,#REF!,0)</f>
        <v>#REF!</v>
      </c>
      <c r="H10" s="283" t="e">
        <f>-IF(#REF!&lt;=0,#REF!,0)</f>
        <v>#REF!</v>
      </c>
      <c r="I10" s="296" t="e">
        <f>-IF(#REF!&lt;=0,#REF!,0)</f>
        <v>#REF!</v>
      </c>
    </row>
    <row r="11" spans="2:9" s="51" customFormat="1" ht="42" customHeight="1">
      <c r="B11" s="691" t="s">
        <v>60</v>
      </c>
      <c r="C11" s="692"/>
      <c r="D11" s="271"/>
      <c r="E11" s="272"/>
      <c r="F11" s="273"/>
      <c r="G11" s="273"/>
      <c r="H11" s="273"/>
      <c r="I11" s="274"/>
    </row>
    <row r="12" spans="2:9" s="51" customFormat="1" ht="42" customHeight="1">
      <c r="B12" s="675" t="s">
        <v>61</v>
      </c>
      <c r="C12" s="676"/>
      <c r="D12" s="275">
        <v>0</v>
      </c>
      <c r="E12" s="276">
        <v>0</v>
      </c>
      <c r="F12" s="276">
        <v>0</v>
      </c>
      <c r="G12" s="276">
        <v>0</v>
      </c>
      <c r="H12" s="276">
        <v>0</v>
      </c>
      <c r="I12" s="277">
        <v>0</v>
      </c>
    </row>
    <row r="13" spans="2:9" s="51" customFormat="1" ht="42" customHeight="1">
      <c r="B13" s="675" t="s">
        <v>62</v>
      </c>
      <c r="C13" s="676"/>
      <c r="D13" s="278" t="e">
        <f aca="true" t="shared" si="0" ref="D13:I13">(D10*D11)*D12</f>
        <v>#REF!</v>
      </c>
      <c r="E13" s="279"/>
      <c r="F13" s="280" t="e">
        <f t="shared" si="0"/>
        <v>#REF!</v>
      </c>
      <c r="G13" s="280" t="e">
        <f t="shared" si="0"/>
        <v>#REF!</v>
      </c>
      <c r="H13" s="280" t="e">
        <f t="shared" si="0"/>
        <v>#REF!</v>
      </c>
      <c r="I13" s="281" t="e">
        <f t="shared" si="0"/>
        <v>#REF!</v>
      </c>
    </row>
    <row r="14" spans="2:9" s="51" customFormat="1" ht="42" customHeight="1">
      <c r="B14" s="677" t="s">
        <v>63</v>
      </c>
      <c r="C14" s="678"/>
      <c r="D14" s="284"/>
      <c r="E14" s="285"/>
      <c r="F14" s="286"/>
      <c r="G14" s="286"/>
      <c r="H14" s="286"/>
      <c r="I14" s="287"/>
    </row>
    <row r="15" spans="2:9" s="51" customFormat="1" ht="42" customHeight="1" thickBot="1">
      <c r="B15" s="679" t="s">
        <v>64</v>
      </c>
      <c r="C15" s="680"/>
      <c r="D15" s="288" t="e">
        <f aca="true" t="shared" si="1" ref="D15:I15">D12*D13*D14</f>
        <v>#REF!</v>
      </c>
      <c r="E15" s="289">
        <f t="shared" si="1"/>
        <v>0</v>
      </c>
      <c r="F15" s="289" t="e">
        <f t="shared" si="1"/>
        <v>#REF!</v>
      </c>
      <c r="G15" s="289" t="e">
        <f t="shared" si="1"/>
        <v>#REF!</v>
      </c>
      <c r="H15" s="289" t="e">
        <f t="shared" si="1"/>
        <v>#REF!</v>
      </c>
      <c r="I15" s="297" t="e">
        <f t="shared" si="1"/>
        <v>#REF!</v>
      </c>
    </row>
    <row r="16" ht="22.5" customHeight="1"/>
    <row r="17" ht="22.5" customHeight="1"/>
  </sheetData>
  <sheetProtection/>
  <mergeCells count="16">
    <mergeCell ref="B14:C14"/>
    <mergeCell ref="B15:C15"/>
    <mergeCell ref="D6:I7"/>
    <mergeCell ref="B10:C10"/>
    <mergeCell ref="B11:C11"/>
    <mergeCell ref="D8:E8"/>
    <mergeCell ref="F8:F9"/>
    <mergeCell ref="G8:G9"/>
    <mergeCell ref="H8:H9"/>
    <mergeCell ref="I8:I9"/>
    <mergeCell ref="A5:C5"/>
    <mergeCell ref="A1:I1"/>
    <mergeCell ref="A2:I2"/>
    <mergeCell ref="A3:I3"/>
    <mergeCell ref="B12:C12"/>
    <mergeCell ref="B13:C13"/>
  </mergeCells>
  <printOptions horizontalCentered="1"/>
  <pageMargins left="0.7086614173228347" right="0.7086614173228347" top="0.31" bottom="0.7480314960629921" header="0.31496062992125984" footer="0.31496062992125984"/>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tabColor theme="0"/>
  </sheetPr>
  <dimension ref="A1:P61"/>
  <sheetViews>
    <sheetView rightToLeft="1" zoomScale="55" zoomScaleNormal="55" zoomScalePageLayoutView="0" workbookViewId="0" topLeftCell="A4">
      <selection activeCell="D10" sqref="D10:F10"/>
    </sheetView>
  </sheetViews>
  <sheetFormatPr defaultColWidth="9.140625" defaultRowHeight="12.75"/>
  <cols>
    <col min="1" max="1" width="4.28125" style="97" customWidth="1"/>
    <col min="2" max="2" width="9.140625" style="40" customWidth="1"/>
    <col min="3" max="3" width="43.8515625" style="40" customWidth="1"/>
    <col min="4" max="4" width="21.28125" style="97" customWidth="1"/>
    <col min="5" max="6" width="22.28125" style="97" customWidth="1"/>
    <col min="7" max="7" width="23.421875" style="97" customWidth="1"/>
    <col min="8" max="16384" width="9.140625" style="97" customWidth="1"/>
  </cols>
  <sheetData>
    <row r="1" spans="1:8" ht="33.75" customHeight="1">
      <c r="A1" s="500" t="s">
        <v>193</v>
      </c>
      <c r="B1" s="500"/>
      <c r="C1" s="500"/>
      <c r="D1" s="500"/>
      <c r="E1" s="500"/>
      <c r="F1" s="500"/>
      <c r="G1" s="500"/>
      <c r="H1" s="167"/>
    </row>
    <row r="2" spans="1:8" ht="33.75" customHeight="1">
      <c r="A2" s="501" t="s">
        <v>136</v>
      </c>
      <c r="B2" s="501"/>
      <c r="C2" s="501"/>
      <c r="D2" s="501"/>
      <c r="E2" s="501"/>
      <c r="F2" s="501"/>
      <c r="G2" s="501"/>
      <c r="H2" s="168"/>
    </row>
    <row r="3" spans="1:8" ht="39" customHeight="1">
      <c r="A3" s="502" t="s">
        <v>113</v>
      </c>
      <c r="B3" s="502"/>
      <c r="C3" s="502"/>
      <c r="D3" s="502"/>
      <c r="E3" s="502"/>
      <c r="F3" s="502"/>
      <c r="G3" s="502"/>
      <c r="H3" s="169"/>
    </row>
    <row r="5" spans="1:4" s="354" customFormat="1" ht="53.25" customHeight="1">
      <c r="A5" s="356" t="s">
        <v>146</v>
      </c>
      <c r="B5" s="356"/>
      <c r="C5" s="356"/>
      <c r="D5" s="355"/>
    </row>
    <row r="6" spans="2:7" s="51" customFormat="1" ht="21.75" customHeight="1">
      <c r="B6" s="267"/>
      <c r="C6" s="268"/>
      <c r="D6" s="681" t="s">
        <v>41</v>
      </c>
      <c r="E6" s="683"/>
      <c r="F6" s="683"/>
      <c r="G6" s="684"/>
    </row>
    <row r="7" spans="2:7" s="51" customFormat="1" ht="21.75" customHeight="1">
      <c r="B7" s="267"/>
      <c r="C7" s="268"/>
      <c r="D7" s="685"/>
      <c r="E7" s="687"/>
      <c r="F7" s="687"/>
      <c r="G7" s="688"/>
    </row>
    <row r="8" spans="2:7" s="51" customFormat="1" ht="33" customHeight="1">
      <c r="B8" s="267"/>
      <c r="C8" s="268"/>
      <c r="D8" s="388" t="s">
        <v>228</v>
      </c>
      <c r="E8" s="694" t="s">
        <v>44</v>
      </c>
      <c r="F8" s="694" t="s">
        <v>45</v>
      </c>
      <c r="G8" s="696" t="s">
        <v>2</v>
      </c>
    </row>
    <row r="9" spans="2:7" s="51" customFormat="1" ht="33" customHeight="1">
      <c r="B9" s="269"/>
      <c r="C9" s="270"/>
      <c r="D9" s="294" t="s">
        <v>46</v>
      </c>
      <c r="E9" s="695"/>
      <c r="F9" s="695"/>
      <c r="G9" s="697"/>
    </row>
    <row r="10" spans="2:7" s="51" customFormat="1" ht="42" customHeight="1">
      <c r="B10" s="689" t="s">
        <v>135</v>
      </c>
      <c r="C10" s="690"/>
      <c r="D10" s="358">
        <v>36563</v>
      </c>
      <c r="E10" s="359">
        <v>198703</v>
      </c>
      <c r="F10" s="359">
        <v>389449</v>
      </c>
      <c r="G10" s="360">
        <v>733515</v>
      </c>
    </row>
    <row r="11" spans="2:7" s="51" customFormat="1" ht="42" customHeight="1">
      <c r="B11" s="691" t="s">
        <v>60</v>
      </c>
      <c r="C11" s="692"/>
      <c r="D11" s="361">
        <v>12</v>
      </c>
      <c r="E11" s="362">
        <v>12</v>
      </c>
      <c r="F11" s="362">
        <v>12</v>
      </c>
      <c r="G11" s="363">
        <v>12</v>
      </c>
    </row>
    <row r="12" spans="2:7" s="51" customFormat="1" ht="42" customHeight="1">
      <c r="B12" s="675" t="s">
        <v>61</v>
      </c>
      <c r="C12" s="676"/>
      <c r="D12" s="364">
        <v>0.25</v>
      </c>
      <c r="E12" s="365">
        <v>0.25</v>
      </c>
      <c r="F12" s="365">
        <v>0.25</v>
      </c>
      <c r="G12" s="366">
        <v>0.25</v>
      </c>
    </row>
    <row r="13" spans="2:7" s="51" customFormat="1" ht="42" customHeight="1">
      <c r="B13" s="675" t="s">
        <v>194</v>
      </c>
      <c r="C13" s="676"/>
      <c r="D13" s="367">
        <v>110000</v>
      </c>
      <c r="E13" s="368">
        <v>190000</v>
      </c>
      <c r="F13" s="368">
        <v>400000</v>
      </c>
      <c r="G13" s="369">
        <v>700000</v>
      </c>
    </row>
    <row r="14" spans="2:7" s="51" customFormat="1" ht="42" customHeight="1">
      <c r="B14" s="677" t="s">
        <v>63</v>
      </c>
      <c r="C14" s="678"/>
      <c r="D14" s="462">
        <v>50000</v>
      </c>
      <c r="E14" s="463">
        <v>20000</v>
      </c>
      <c r="F14" s="463">
        <v>40000</v>
      </c>
      <c r="G14" s="464">
        <f>D14+E14+F14</f>
        <v>110000</v>
      </c>
    </row>
    <row r="15" spans="2:7" s="51" customFormat="1" ht="42" customHeight="1" thickBot="1">
      <c r="B15" s="679" t="s">
        <v>64</v>
      </c>
      <c r="C15" s="680"/>
      <c r="D15" s="465">
        <v>10354</v>
      </c>
      <c r="E15" s="466">
        <v>26593</v>
      </c>
      <c r="F15" s="466">
        <v>148097</v>
      </c>
      <c r="G15" s="467">
        <v>185044</v>
      </c>
    </row>
    <row r="16" ht="22.5" customHeight="1"/>
    <row r="17" ht="22.5" customHeight="1"/>
    <row r="60" spans="1:7" ht="18">
      <c r="A60" s="698">
        <v>14</v>
      </c>
      <c r="B60" s="698"/>
      <c r="C60" s="698"/>
      <c r="D60" s="698"/>
      <c r="E60" s="698"/>
      <c r="F60" s="698"/>
      <c r="G60" s="698"/>
    </row>
    <row r="61" spans="1:16" ht="18">
      <c r="A61" s="357">
        <v>11</v>
      </c>
      <c r="B61" s="357"/>
      <c r="C61" s="357"/>
      <c r="D61" s="357"/>
      <c r="E61" s="357"/>
      <c r="F61" s="357"/>
      <c r="G61" s="357"/>
      <c r="H61" s="357"/>
      <c r="I61" s="357"/>
      <c r="J61" s="357"/>
      <c r="K61" s="357"/>
      <c r="L61" s="357"/>
      <c r="M61" s="357"/>
      <c r="N61" s="357"/>
      <c r="O61" s="357"/>
      <c r="P61" s="357"/>
    </row>
  </sheetData>
  <sheetProtection/>
  <mergeCells count="14">
    <mergeCell ref="B11:C11"/>
    <mergeCell ref="B12:C12"/>
    <mergeCell ref="B13:C13"/>
    <mergeCell ref="B14:C14"/>
    <mergeCell ref="A60:G60"/>
    <mergeCell ref="B15:C15"/>
    <mergeCell ref="B10:C10"/>
    <mergeCell ref="A1:G1"/>
    <mergeCell ref="A2:G2"/>
    <mergeCell ref="A3:G3"/>
    <mergeCell ref="D6:G7"/>
    <mergeCell ref="E8:E9"/>
    <mergeCell ref="F8:F9"/>
    <mergeCell ref="G8:G9"/>
  </mergeCells>
  <printOptions/>
  <pageMargins left="0" right="0"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tabColor theme="0"/>
  </sheetPr>
  <dimension ref="A1:AE34"/>
  <sheetViews>
    <sheetView rightToLeft="1" view="pageBreakPreview" zoomScale="60" zoomScalePageLayoutView="0" workbookViewId="0" topLeftCell="A3">
      <selection activeCell="B25" sqref="B25"/>
    </sheetView>
  </sheetViews>
  <sheetFormatPr defaultColWidth="9.140625" defaultRowHeight="12.75"/>
  <cols>
    <col min="1" max="1" width="4.421875" style="52" customWidth="1"/>
    <col min="2" max="2" width="58.00390625" style="52" customWidth="1"/>
    <col min="3" max="3" width="9.8515625" style="52" customWidth="1"/>
    <col min="4" max="4" width="1.1484375" style="52" customWidth="1"/>
    <col min="5" max="6" width="0" style="52" hidden="1" customWidth="1"/>
    <col min="7" max="7" width="0.9921875" style="52" hidden="1" customWidth="1"/>
    <col min="8" max="9" width="0" style="52" hidden="1" customWidth="1"/>
    <col min="10" max="10" width="1.1484375" style="52" hidden="1" customWidth="1"/>
    <col min="11" max="11" width="0" style="52" hidden="1" customWidth="1"/>
    <col min="12" max="12" width="9.140625" style="52" hidden="1" customWidth="1"/>
    <col min="13" max="13" width="1.57421875" style="52" hidden="1" customWidth="1"/>
    <col min="14" max="15" width="0" style="52" hidden="1" customWidth="1"/>
    <col min="16" max="16" width="1.7109375" style="52" hidden="1" customWidth="1"/>
    <col min="17" max="17" width="0" style="52" hidden="1" customWidth="1"/>
    <col min="18" max="18" width="11.140625" style="52" customWidth="1"/>
    <col min="19" max="19" width="20.421875" style="52" customWidth="1"/>
    <col min="20" max="20" width="3.57421875" style="52" customWidth="1"/>
    <col min="21" max="21" width="20.421875" style="52" customWidth="1"/>
    <col min="22" max="22" width="13.8515625" style="52" customWidth="1"/>
    <col min="23" max="23" width="21.8515625" style="52" customWidth="1"/>
    <col min="24" max="24" width="3.7109375" style="52" customWidth="1"/>
    <col min="25" max="25" width="20.421875" style="52" customWidth="1"/>
    <col min="26" max="16384" width="9.140625" style="52" customWidth="1"/>
  </cols>
  <sheetData>
    <row r="1" spans="1:31" s="58" customFormat="1" ht="39" customHeight="1">
      <c r="A1" s="500" t="s">
        <v>148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47"/>
      <c r="AB1" s="47"/>
      <c r="AC1" s="47"/>
      <c r="AD1" s="47"/>
      <c r="AE1" s="47"/>
    </row>
    <row r="2" spans="1:31" s="58" customFormat="1" ht="39" customHeight="1">
      <c r="A2" s="501" t="s">
        <v>114</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47"/>
      <c r="AB2" s="47"/>
      <c r="AC2" s="47"/>
      <c r="AD2" s="47"/>
      <c r="AE2" s="47"/>
    </row>
    <row r="3" spans="1:31" s="58" customFormat="1" ht="39" customHeight="1">
      <c r="A3" s="502" t="s">
        <v>113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48"/>
      <c r="AB3" s="48"/>
      <c r="AC3" s="48"/>
      <c r="AD3" s="48"/>
      <c r="AE3" s="48"/>
    </row>
    <row r="4" spans="2:3" s="70" customFormat="1" ht="49.5" customHeight="1">
      <c r="B4" s="505" t="s">
        <v>140</v>
      </c>
      <c r="C4" s="505"/>
    </row>
    <row r="5" spans="2:25" s="58" customFormat="1" ht="40.5" customHeight="1">
      <c r="B5" s="59"/>
      <c r="C5" s="59"/>
      <c r="S5" s="507" t="s">
        <v>40</v>
      </c>
      <c r="T5" s="507"/>
      <c r="U5" s="507"/>
      <c r="V5" s="53"/>
      <c r="W5" s="508" t="s">
        <v>37</v>
      </c>
      <c r="X5" s="508"/>
      <c r="Y5" s="508"/>
    </row>
    <row r="6" spans="2:25" s="60" customFormat="1" ht="74.25" customHeight="1">
      <c r="B6" s="42"/>
      <c r="C6" s="42"/>
      <c r="S6" s="44" t="s">
        <v>48</v>
      </c>
      <c r="T6" s="61"/>
      <c r="U6" s="46" t="s">
        <v>39</v>
      </c>
      <c r="V6" s="45"/>
      <c r="W6" s="46" t="s">
        <v>47</v>
      </c>
      <c r="X6" s="62"/>
      <c r="Y6" s="46" t="s">
        <v>151</v>
      </c>
    </row>
    <row r="7" spans="2:19" s="58" customFormat="1" ht="49.5" customHeight="1" hidden="1">
      <c r="B7" s="59" t="s">
        <v>50</v>
      </c>
      <c r="C7" s="59"/>
      <c r="S7" s="63"/>
    </row>
    <row r="8" spans="2:19" s="58" customFormat="1" ht="49.5" customHeight="1" hidden="1">
      <c r="B8" s="59" t="s">
        <v>51</v>
      </c>
      <c r="C8" s="59"/>
      <c r="S8" s="64"/>
    </row>
    <row r="9" spans="2:19" s="58" customFormat="1" ht="49.5" customHeight="1" hidden="1">
      <c r="B9" s="59" t="s">
        <v>49</v>
      </c>
      <c r="C9" s="59"/>
      <c r="S9" s="64"/>
    </row>
    <row r="10" spans="2:19" s="58" customFormat="1" ht="49.5" customHeight="1" hidden="1">
      <c r="B10" s="59" t="s">
        <v>122</v>
      </c>
      <c r="C10" s="59"/>
      <c r="S10" s="64"/>
    </row>
    <row r="11" spans="2:19" s="58" customFormat="1" ht="49.5" customHeight="1" hidden="1">
      <c r="B11" s="59" t="s">
        <v>116</v>
      </c>
      <c r="C11" s="59"/>
      <c r="S11" s="64"/>
    </row>
    <row r="12" spans="2:19" s="58" customFormat="1" ht="49.5" customHeight="1" hidden="1">
      <c r="B12" s="59" t="s">
        <v>117</v>
      </c>
      <c r="C12" s="59"/>
      <c r="S12" s="64"/>
    </row>
    <row r="13" spans="2:19" s="58" customFormat="1" ht="49.5" customHeight="1" hidden="1">
      <c r="B13" s="59" t="s">
        <v>115</v>
      </c>
      <c r="C13" s="59"/>
      <c r="S13" s="64"/>
    </row>
    <row r="14" spans="2:19" s="58" customFormat="1" ht="49.5" customHeight="1" hidden="1">
      <c r="B14" s="59" t="s">
        <v>52</v>
      </c>
      <c r="C14" s="59"/>
      <c r="S14" s="64"/>
    </row>
    <row r="15" spans="2:25" s="58" customFormat="1" ht="19.5" customHeight="1" hidden="1">
      <c r="B15" s="59"/>
      <c r="C15" s="59"/>
      <c r="S15" s="63"/>
      <c r="T15" s="64"/>
      <c r="U15" s="63"/>
      <c r="V15" s="64"/>
      <c r="W15" s="63"/>
      <c r="X15" s="64"/>
      <c r="Y15" s="63"/>
    </row>
    <row r="16" spans="2:3" s="58" customFormat="1" ht="49.5" customHeight="1" hidden="1">
      <c r="B16" s="65" t="s">
        <v>53</v>
      </c>
      <c r="C16" s="59"/>
    </row>
    <row r="17" spans="2:3" s="58" customFormat="1" ht="49.5" customHeight="1" hidden="1">
      <c r="B17" s="65" t="s">
        <v>57</v>
      </c>
      <c r="C17" s="59"/>
    </row>
    <row r="18" spans="2:25" s="58" customFormat="1" ht="38.25" customHeight="1" hidden="1">
      <c r="B18" s="65"/>
      <c r="C18" s="59"/>
      <c r="S18" s="63"/>
      <c r="T18" s="64"/>
      <c r="U18" s="63"/>
      <c r="V18" s="64"/>
      <c r="W18" s="63"/>
      <c r="X18" s="64"/>
      <c r="Y18" s="63"/>
    </row>
    <row r="19" spans="2:3" s="58" customFormat="1" ht="48" customHeight="1" hidden="1">
      <c r="B19" s="59" t="s">
        <v>54</v>
      </c>
      <c r="C19" s="59"/>
    </row>
    <row r="20" spans="2:3" s="58" customFormat="1" ht="48" customHeight="1" hidden="1">
      <c r="B20" s="59" t="s">
        <v>55</v>
      </c>
      <c r="C20" s="59"/>
    </row>
    <row r="21" spans="2:25" s="58" customFormat="1" ht="55.5" customHeight="1" hidden="1">
      <c r="B21" s="59" t="s">
        <v>56</v>
      </c>
      <c r="C21" s="59"/>
      <c r="S21" s="63"/>
      <c r="U21" s="63"/>
      <c r="W21" s="63"/>
      <c r="Y21" s="63"/>
    </row>
    <row r="22" spans="2:25" s="58" customFormat="1" ht="55.5" customHeight="1">
      <c r="B22" s="308" t="s">
        <v>152</v>
      </c>
      <c r="C22" s="59"/>
      <c r="U22" s="58">
        <v>305252</v>
      </c>
      <c r="W22" s="58">
        <v>348491</v>
      </c>
      <c r="Y22" s="58">
        <v>43998</v>
      </c>
    </row>
    <row r="23" spans="2:25" s="58" customFormat="1" ht="38.25" customHeight="1" thickBot="1">
      <c r="B23" s="59"/>
      <c r="C23" s="59"/>
      <c r="S23" s="66"/>
      <c r="U23" s="66"/>
      <c r="W23" s="66"/>
      <c r="Y23" s="66"/>
    </row>
    <row r="24" spans="2:3" s="58" customFormat="1" ht="25.5" customHeight="1" thickTop="1">
      <c r="B24" s="59"/>
      <c r="C24" s="59"/>
    </row>
    <row r="25" spans="2:3" s="58" customFormat="1" ht="25.5" customHeight="1">
      <c r="B25" s="59"/>
      <c r="C25" s="59"/>
    </row>
    <row r="26" spans="2:3" s="58" customFormat="1" ht="25.5" customHeight="1">
      <c r="B26" s="59"/>
      <c r="C26" s="59"/>
    </row>
    <row r="27" spans="1:26" s="58" customFormat="1" ht="25.5" customHeight="1">
      <c r="A27" s="503">
        <v>6</v>
      </c>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row>
    <row r="28" spans="2:3" s="58" customFormat="1" ht="25.5" customHeight="1">
      <c r="B28" s="59"/>
      <c r="C28" s="59"/>
    </row>
    <row r="29" spans="2:3" s="58" customFormat="1" ht="25.5" customHeight="1">
      <c r="B29" s="59"/>
      <c r="C29" s="59"/>
    </row>
    <row r="30" spans="2:22" s="68" customFormat="1" ht="30.75" customHeight="1">
      <c r="B30" s="67"/>
      <c r="C30" s="67"/>
      <c r="D30" s="59"/>
      <c r="E30" s="59"/>
      <c r="F30" s="59"/>
      <c r="G30" s="59"/>
      <c r="H30" s="59"/>
      <c r="I30" s="59"/>
      <c r="J30" s="59"/>
      <c r="K30" s="59"/>
      <c r="L30" s="59"/>
      <c r="M30" s="59"/>
      <c r="N30" s="59"/>
      <c r="O30" s="59"/>
      <c r="P30" s="59"/>
      <c r="Q30" s="59"/>
      <c r="U30" s="69"/>
      <c r="V30" s="69"/>
    </row>
    <row r="32" spans="2:3" ht="22.5">
      <c r="B32" s="506"/>
      <c r="C32" s="506"/>
    </row>
    <row r="34" spans="1:25" ht="30"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row>
  </sheetData>
  <sheetProtection/>
  <mergeCells count="9">
    <mergeCell ref="A1:Z1"/>
    <mergeCell ref="A2:Z2"/>
    <mergeCell ref="A3:Z3"/>
    <mergeCell ref="A27:Z27"/>
    <mergeCell ref="A34:Y34"/>
    <mergeCell ref="B4:C4"/>
    <mergeCell ref="B32:C32"/>
    <mergeCell ref="S5:U5"/>
    <mergeCell ref="W5:Y5"/>
  </mergeCells>
  <printOptions/>
  <pageMargins left="0.22" right="0.82" top="0.75" bottom="0.75" header="0.3" footer="0.3"/>
  <pageSetup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tabColor theme="0"/>
  </sheetPr>
  <dimension ref="A1:AC52"/>
  <sheetViews>
    <sheetView rightToLeft="1" view="pageBreakPreview" zoomScale="60" zoomScaleNormal="85" zoomScalePageLayoutView="0" workbookViewId="0" topLeftCell="A7">
      <selection activeCell="A1" sqref="A1:R1"/>
    </sheetView>
  </sheetViews>
  <sheetFormatPr defaultColWidth="9.140625" defaultRowHeight="12.75"/>
  <cols>
    <col min="1" max="2" width="9.140625" style="97" customWidth="1"/>
    <col min="3" max="3" width="45.57421875" style="97" bestFit="1" customWidth="1"/>
    <col min="4" max="4" width="1.57421875" style="97" customWidth="1"/>
    <col min="5" max="5" width="15.57421875" style="100" customWidth="1"/>
    <col min="6" max="6" width="1.421875" style="97" customWidth="1"/>
    <col min="7" max="7" width="16.140625" style="97" customWidth="1"/>
    <col min="8" max="8" width="3.7109375" style="97" customWidth="1"/>
    <col min="9" max="9" width="17.00390625" style="97" customWidth="1"/>
    <col min="10" max="10" width="15.57421875" style="97" customWidth="1"/>
    <col min="11" max="11" width="1.8515625" style="97" customWidth="1"/>
    <col min="12" max="12" width="16.57421875" style="97" customWidth="1"/>
    <col min="13" max="13" width="1.421875" style="97" customWidth="1"/>
    <col min="14" max="14" width="16.57421875" style="97" customWidth="1"/>
    <col min="15" max="15" width="1.1484375" style="97" customWidth="1"/>
    <col min="16" max="16" width="16.57421875" style="97" customWidth="1"/>
    <col min="17" max="17" width="0.9921875" style="97" customWidth="1"/>
    <col min="18" max="18" width="16.57421875" style="97" customWidth="1"/>
    <col min="19" max="16384" width="9.140625" style="97" customWidth="1"/>
  </cols>
  <sheetData>
    <row r="1" spans="1:29" ht="33.75" customHeight="1">
      <c r="A1" s="500" t="s">
        <v>148</v>
      </c>
      <c r="B1" s="500"/>
      <c r="C1" s="500"/>
      <c r="D1" s="500"/>
      <c r="E1" s="500"/>
      <c r="F1" s="500"/>
      <c r="G1" s="500"/>
      <c r="H1" s="500"/>
      <c r="I1" s="500"/>
      <c r="J1" s="500"/>
      <c r="K1" s="500"/>
      <c r="L1" s="500"/>
      <c r="M1" s="500"/>
      <c r="N1" s="500"/>
      <c r="O1" s="500"/>
      <c r="P1" s="500"/>
      <c r="Q1" s="500"/>
      <c r="R1" s="500"/>
      <c r="S1" s="95"/>
      <c r="T1" s="95"/>
      <c r="U1" s="96"/>
      <c r="V1" s="96"/>
      <c r="W1" s="96"/>
      <c r="X1" s="96"/>
      <c r="Y1" s="96"/>
      <c r="Z1" s="96"/>
      <c r="AA1" s="96"/>
      <c r="AB1" s="96"/>
      <c r="AC1" s="96"/>
    </row>
    <row r="2" spans="1:29" ht="33" customHeight="1">
      <c r="A2" s="501" t="s">
        <v>114</v>
      </c>
      <c r="B2" s="501"/>
      <c r="C2" s="501"/>
      <c r="D2" s="501"/>
      <c r="E2" s="501"/>
      <c r="F2" s="501"/>
      <c r="G2" s="501"/>
      <c r="H2" s="501"/>
      <c r="I2" s="501"/>
      <c r="J2" s="501"/>
      <c r="K2" s="501"/>
      <c r="L2" s="501"/>
      <c r="M2" s="501"/>
      <c r="N2" s="501"/>
      <c r="O2" s="501"/>
      <c r="P2" s="501"/>
      <c r="Q2" s="501"/>
      <c r="R2" s="501"/>
      <c r="S2" s="56"/>
      <c r="T2" s="56"/>
      <c r="U2" s="56"/>
      <c r="V2" s="56"/>
      <c r="W2" s="56"/>
      <c r="X2" s="56"/>
      <c r="Y2" s="56"/>
      <c r="Z2" s="56"/>
      <c r="AA2" s="96"/>
      <c r="AB2" s="96"/>
      <c r="AC2" s="96"/>
    </row>
    <row r="3" spans="1:29" ht="27.75" customHeight="1">
      <c r="A3" s="502" t="s">
        <v>113</v>
      </c>
      <c r="B3" s="502"/>
      <c r="C3" s="502"/>
      <c r="D3" s="502"/>
      <c r="E3" s="502"/>
      <c r="F3" s="502"/>
      <c r="G3" s="502"/>
      <c r="H3" s="502"/>
      <c r="I3" s="502"/>
      <c r="J3" s="502"/>
      <c r="K3" s="502"/>
      <c r="L3" s="502"/>
      <c r="M3" s="502"/>
      <c r="N3" s="502"/>
      <c r="O3" s="502"/>
      <c r="P3" s="502"/>
      <c r="Q3" s="502"/>
      <c r="R3" s="502"/>
      <c r="S3" s="48"/>
      <c r="T3" s="48"/>
      <c r="U3" s="48"/>
      <c r="V3" s="48"/>
      <c r="W3" s="48"/>
      <c r="X3" s="48"/>
      <c r="Y3" s="48"/>
      <c r="Z3" s="48"/>
      <c r="AA3" s="96"/>
      <c r="AB3" s="96"/>
      <c r="AC3" s="96"/>
    </row>
    <row r="4" spans="4:18" ht="21" customHeight="1">
      <c r="D4" s="98"/>
      <c r="E4" s="99"/>
      <c r="F4" s="98"/>
      <c r="G4" s="98"/>
      <c r="H4" s="98"/>
      <c r="I4" s="98"/>
      <c r="J4" s="98"/>
      <c r="K4" s="98"/>
      <c r="L4" s="98"/>
      <c r="M4" s="98"/>
      <c r="N4" s="98"/>
      <c r="O4" s="98"/>
      <c r="P4" s="98"/>
      <c r="Q4" s="98"/>
      <c r="R4" s="98"/>
    </row>
    <row r="5" spans="3:18" s="51" customFormat="1" ht="21" customHeight="1">
      <c r="C5" s="509" t="s">
        <v>141</v>
      </c>
      <c r="D5" s="509"/>
      <c r="E5" s="509"/>
      <c r="F5" s="509"/>
      <c r="G5" s="509"/>
      <c r="H5" s="509"/>
      <c r="I5" s="509"/>
      <c r="J5" s="509"/>
      <c r="K5" s="509"/>
      <c r="L5" s="509"/>
      <c r="M5" s="509"/>
      <c r="N5" s="509"/>
      <c r="O5" s="509"/>
      <c r="P5" s="509"/>
      <c r="Q5" s="509"/>
      <c r="R5" s="509"/>
    </row>
    <row r="6" ht="21" customHeight="1"/>
    <row r="7" spans="3:19" s="51" customFormat="1" ht="22.5" customHeight="1">
      <c r="C7" s="109" t="s">
        <v>12</v>
      </c>
      <c r="D7" s="110"/>
      <c r="E7" s="113"/>
      <c r="F7" s="111"/>
      <c r="G7" s="111"/>
      <c r="H7" s="111"/>
      <c r="I7" s="112"/>
      <c r="J7" s="112"/>
      <c r="K7" s="112"/>
      <c r="L7" s="112"/>
      <c r="M7" s="112"/>
      <c r="N7" s="112"/>
      <c r="O7" s="112"/>
      <c r="P7" s="112"/>
      <c r="Q7" s="112"/>
      <c r="R7" s="112"/>
      <c r="S7" s="55"/>
    </row>
    <row r="8" spans="3:19" ht="15.75">
      <c r="C8" s="71"/>
      <c r="D8" s="71"/>
      <c r="E8" s="72"/>
      <c r="F8" s="71"/>
      <c r="G8" s="71"/>
      <c r="H8" s="71"/>
      <c r="I8" s="71"/>
      <c r="J8" s="71"/>
      <c r="K8" s="71"/>
      <c r="L8" s="71"/>
      <c r="M8" s="71"/>
      <c r="N8" s="71"/>
      <c r="O8" s="71"/>
      <c r="P8" s="71"/>
      <c r="Q8" s="71"/>
      <c r="R8" s="71"/>
      <c r="S8" s="101"/>
    </row>
    <row r="9" spans="3:19" ht="18" customHeight="1">
      <c r="C9" s="71"/>
      <c r="D9" s="71"/>
      <c r="E9" s="72"/>
      <c r="F9" s="71"/>
      <c r="G9" s="71"/>
      <c r="H9" s="71"/>
      <c r="I9" s="73"/>
      <c r="J9" s="73"/>
      <c r="K9" s="73"/>
      <c r="L9" s="73"/>
      <c r="M9" s="73"/>
      <c r="N9" s="73"/>
      <c r="O9" s="73"/>
      <c r="P9" s="73"/>
      <c r="Q9" s="73"/>
      <c r="R9" s="73"/>
      <c r="S9" s="101"/>
    </row>
    <row r="10" spans="3:19" s="49" customFormat="1" ht="24" customHeight="1">
      <c r="C10" s="108"/>
      <c r="D10" s="108"/>
      <c r="E10" s="115"/>
      <c r="F10" s="108"/>
      <c r="G10" s="108"/>
      <c r="H10" s="108"/>
      <c r="I10" s="510" t="s">
        <v>40</v>
      </c>
      <c r="J10" s="510"/>
      <c r="K10" s="510"/>
      <c r="L10" s="510"/>
      <c r="M10" s="510"/>
      <c r="N10" s="510"/>
      <c r="O10" s="510"/>
      <c r="P10" s="510"/>
      <c r="Q10" s="510"/>
      <c r="R10" s="510"/>
      <c r="S10" s="57"/>
    </row>
    <row r="11" spans="3:19" s="102" customFormat="1" ht="31.5" customHeight="1">
      <c r="C11" s="74"/>
      <c r="D11" s="74"/>
      <c r="E11" s="75"/>
      <c r="F11" s="74"/>
      <c r="G11" s="514" t="s">
        <v>58</v>
      </c>
      <c r="H11" s="74"/>
      <c r="I11" s="511" t="s">
        <v>42</v>
      </c>
      <c r="J11" s="511"/>
      <c r="K11" s="76"/>
      <c r="L11" s="512" t="s">
        <v>43</v>
      </c>
      <c r="M11" s="77"/>
      <c r="N11" s="512" t="s">
        <v>44</v>
      </c>
      <c r="O11" s="77"/>
      <c r="P11" s="512" t="s">
        <v>45</v>
      </c>
      <c r="Q11" s="77"/>
      <c r="R11" s="512" t="s">
        <v>2</v>
      </c>
      <c r="S11" s="103"/>
    </row>
    <row r="12" spans="3:19" s="102" customFormat="1" ht="48.75" customHeight="1">
      <c r="C12" s="78" t="s">
        <v>13</v>
      </c>
      <c r="D12" s="79"/>
      <c r="E12" s="80" t="s">
        <v>14</v>
      </c>
      <c r="F12" s="79"/>
      <c r="G12" s="515"/>
      <c r="H12" s="79"/>
      <c r="I12" s="81" t="s">
        <v>46</v>
      </c>
      <c r="J12" s="81" t="s">
        <v>39</v>
      </c>
      <c r="K12" s="79"/>
      <c r="L12" s="513"/>
      <c r="M12" s="82"/>
      <c r="N12" s="513"/>
      <c r="O12" s="82"/>
      <c r="P12" s="513"/>
      <c r="Q12" s="82"/>
      <c r="R12" s="513"/>
      <c r="S12" s="79"/>
    </row>
    <row r="13" spans="3:19" ht="21" customHeight="1">
      <c r="C13" s="83" t="s">
        <v>50</v>
      </c>
      <c r="D13" s="71"/>
      <c r="E13" s="84"/>
      <c r="F13" s="71"/>
      <c r="G13" s="71"/>
      <c r="H13" s="71"/>
      <c r="I13" s="85"/>
      <c r="J13" s="85"/>
      <c r="K13" s="85"/>
      <c r="L13" s="85"/>
      <c r="M13" s="85"/>
      <c r="N13" s="85"/>
      <c r="O13" s="85"/>
      <c r="P13" s="85"/>
      <c r="Q13" s="85"/>
      <c r="R13" s="85"/>
      <c r="S13" s="101"/>
    </row>
    <row r="14" spans="3:19" ht="21" customHeight="1">
      <c r="C14" s="83" t="s">
        <v>51</v>
      </c>
      <c r="D14" s="71"/>
      <c r="E14" s="72"/>
      <c r="F14" s="71"/>
      <c r="G14" s="71"/>
      <c r="H14" s="71"/>
      <c r="I14" s="85"/>
      <c r="J14" s="85"/>
      <c r="K14" s="85"/>
      <c r="L14" s="85"/>
      <c r="M14" s="85"/>
      <c r="N14" s="85"/>
      <c r="O14" s="85"/>
      <c r="P14" s="85"/>
      <c r="Q14" s="85"/>
      <c r="R14" s="85"/>
      <c r="S14" s="101"/>
    </row>
    <row r="15" spans="3:19" ht="21" customHeight="1">
      <c r="C15" s="83" t="s">
        <v>49</v>
      </c>
      <c r="D15" s="71"/>
      <c r="E15" s="72"/>
      <c r="F15" s="71"/>
      <c r="G15" s="71"/>
      <c r="H15" s="71"/>
      <c r="I15" s="85"/>
      <c r="J15" s="85"/>
      <c r="K15" s="85"/>
      <c r="L15" s="85"/>
      <c r="M15" s="85"/>
      <c r="N15" s="85"/>
      <c r="O15" s="85"/>
      <c r="P15" s="85"/>
      <c r="Q15" s="85"/>
      <c r="R15" s="85"/>
      <c r="S15" s="101"/>
    </row>
    <row r="16" spans="3:19" ht="21" customHeight="1">
      <c r="C16" s="83" t="s">
        <v>123</v>
      </c>
      <c r="D16" s="71"/>
      <c r="E16" s="86" t="s">
        <v>142</v>
      </c>
      <c r="F16" s="71"/>
      <c r="G16" s="71"/>
      <c r="H16" s="71"/>
      <c r="I16" s="85"/>
      <c r="J16" s="85"/>
      <c r="K16" s="85"/>
      <c r="L16" s="85"/>
      <c r="M16" s="85"/>
      <c r="N16" s="85"/>
      <c r="O16" s="85"/>
      <c r="P16" s="85"/>
      <c r="Q16" s="85"/>
      <c r="R16" s="85"/>
      <c r="S16" s="101"/>
    </row>
    <row r="17" spans="3:19" ht="21" customHeight="1">
      <c r="C17" s="83" t="s">
        <v>116</v>
      </c>
      <c r="D17" s="71"/>
      <c r="E17" s="86"/>
      <c r="F17" s="71"/>
      <c r="G17" s="71"/>
      <c r="H17" s="71"/>
      <c r="I17" s="85"/>
      <c r="J17" s="85"/>
      <c r="K17" s="85"/>
      <c r="L17" s="85"/>
      <c r="M17" s="85"/>
      <c r="N17" s="85"/>
      <c r="O17" s="85"/>
      <c r="P17" s="85"/>
      <c r="Q17" s="85"/>
      <c r="R17" s="85"/>
      <c r="S17" s="101"/>
    </row>
    <row r="18" spans="3:19" ht="21" customHeight="1">
      <c r="C18" s="83" t="s">
        <v>117</v>
      </c>
      <c r="D18" s="71"/>
      <c r="E18" s="86" t="s">
        <v>143</v>
      </c>
      <c r="F18" s="71"/>
      <c r="G18" s="71"/>
      <c r="H18" s="71"/>
      <c r="I18" s="85"/>
      <c r="J18" s="85"/>
      <c r="K18" s="85"/>
      <c r="L18" s="85"/>
      <c r="M18" s="85"/>
      <c r="N18" s="85"/>
      <c r="O18" s="85"/>
      <c r="P18" s="85"/>
      <c r="Q18" s="85"/>
      <c r="R18" s="85"/>
      <c r="S18" s="101"/>
    </row>
    <row r="19" spans="3:19" ht="21" customHeight="1">
      <c r="C19" s="83" t="s">
        <v>118</v>
      </c>
      <c r="D19" s="71"/>
      <c r="E19" s="72"/>
      <c r="F19" s="71"/>
      <c r="G19" s="71"/>
      <c r="H19" s="71"/>
      <c r="I19" s="85"/>
      <c r="J19" s="85"/>
      <c r="K19" s="85"/>
      <c r="L19" s="85"/>
      <c r="M19" s="85"/>
      <c r="N19" s="85"/>
      <c r="O19" s="85"/>
      <c r="P19" s="85"/>
      <c r="Q19" s="85"/>
      <c r="R19" s="85"/>
      <c r="S19" s="101"/>
    </row>
    <row r="20" spans="3:19" ht="19.5" customHeight="1">
      <c r="C20" s="83" t="s">
        <v>52</v>
      </c>
      <c r="D20" s="71"/>
      <c r="E20" s="72"/>
      <c r="F20" s="71"/>
      <c r="G20" s="71"/>
      <c r="H20" s="71"/>
      <c r="I20" s="85"/>
      <c r="J20" s="85"/>
      <c r="K20" s="85"/>
      <c r="L20" s="85"/>
      <c r="M20" s="85"/>
      <c r="N20" s="85"/>
      <c r="O20" s="85"/>
      <c r="P20" s="85"/>
      <c r="Q20" s="85"/>
      <c r="R20" s="85"/>
      <c r="S20" s="101"/>
    </row>
    <row r="21" spans="3:19" ht="25.5" customHeight="1">
      <c r="C21" s="71"/>
      <c r="D21" s="71"/>
      <c r="E21" s="72"/>
      <c r="F21" s="71"/>
      <c r="G21" s="87"/>
      <c r="H21" s="71"/>
      <c r="I21" s="88"/>
      <c r="J21" s="88"/>
      <c r="K21" s="85"/>
      <c r="L21" s="88"/>
      <c r="M21" s="85"/>
      <c r="N21" s="88"/>
      <c r="O21" s="85"/>
      <c r="P21" s="88"/>
      <c r="Q21" s="85"/>
      <c r="R21" s="88"/>
      <c r="S21" s="101"/>
    </row>
    <row r="22" spans="3:19" s="102" customFormat="1" ht="30.75" customHeight="1">
      <c r="C22" s="89" t="s">
        <v>53</v>
      </c>
      <c r="D22" s="74"/>
      <c r="E22" s="75"/>
      <c r="F22" s="74"/>
      <c r="G22" s="74"/>
      <c r="H22" s="74"/>
      <c r="I22" s="90"/>
      <c r="J22" s="90"/>
      <c r="K22" s="90"/>
      <c r="L22" s="90"/>
      <c r="M22" s="90"/>
      <c r="N22" s="90"/>
      <c r="O22" s="90"/>
      <c r="P22" s="90"/>
      <c r="Q22" s="90"/>
      <c r="R22" s="90"/>
      <c r="S22" s="103"/>
    </row>
    <row r="23" spans="3:19" s="102" customFormat="1" ht="30.75" customHeight="1">
      <c r="C23" s="89" t="s">
        <v>57</v>
      </c>
      <c r="D23" s="74"/>
      <c r="E23" s="75"/>
      <c r="F23" s="74"/>
      <c r="G23" s="74"/>
      <c r="H23" s="74"/>
      <c r="I23" s="90"/>
      <c r="J23" s="90"/>
      <c r="K23" s="90"/>
      <c r="L23" s="90"/>
      <c r="M23" s="90"/>
      <c r="N23" s="90"/>
      <c r="O23" s="90"/>
      <c r="P23" s="90"/>
      <c r="Q23" s="90"/>
      <c r="R23" s="90"/>
      <c r="S23" s="103"/>
    </row>
    <row r="24" spans="3:19" s="102" customFormat="1" ht="24" customHeight="1">
      <c r="C24" s="89"/>
      <c r="D24" s="74"/>
      <c r="E24" s="75"/>
      <c r="F24" s="74"/>
      <c r="G24" s="91"/>
      <c r="H24" s="74"/>
      <c r="I24" s="91"/>
      <c r="J24" s="91"/>
      <c r="K24" s="90"/>
      <c r="L24" s="91"/>
      <c r="M24" s="90"/>
      <c r="N24" s="91"/>
      <c r="O24" s="90"/>
      <c r="P24" s="91"/>
      <c r="Q24" s="90"/>
      <c r="R24" s="91"/>
      <c r="S24" s="103"/>
    </row>
    <row r="25" spans="3:19" s="102" customFormat="1" ht="32.25" customHeight="1">
      <c r="C25" s="92" t="s">
        <v>54</v>
      </c>
      <c r="D25" s="74"/>
      <c r="E25" s="75"/>
      <c r="F25" s="74"/>
      <c r="G25" s="74"/>
      <c r="H25" s="74"/>
      <c r="I25" s="74"/>
      <c r="J25" s="74"/>
      <c r="K25" s="90"/>
      <c r="L25" s="74"/>
      <c r="M25" s="90"/>
      <c r="N25" s="74"/>
      <c r="O25" s="90"/>
      <c r="P25" s="74"/>
      <c r="Q25" s="90"/>
      <c r="R25" s="74"/>
      <c r="S25" s="103"/>
    </row>
    <row r="26" spans="3:19" s="102" customFormat="1" ht="32.25" customHeight="1">
      <c r="C26" s="92" t="s">
        <v>55</v>
      </c>
      <c r="D26" s="74"/>
      <c r="E26" s="75"/>
      <c r="F26" s="74"/>
      <c r="G26" s="74"/>
      <c r="H26" s="74"/>
      <c r="I26" s="74"/>
      <c r="J26" s="74"/>
      <c r="K26" s="90"/>
      <c r="L26" s="74"/>
      <c r="M26" s="90"/>
      <c r="N26" s="74"/>
      <c r="O26" s="90"/>
      <c r="P26" s="74"/>
      <c r="Q26" s="90"/>
      <c r="R26" s="74"/>
      <c r="S26" s="103"/>
    </row>
    <row r="27" spans="3:19" s="102" customFormat="1" ht="39.75" customHeight="1" thickBot="1">
      <c r="C27" s="92" t="s">
        <v>56</v>
      </c>
      <c r="D27" s="74"/>
      <c r="E27" s="75"/>
      <c r="F27" s="74"/>
      <c r="G27" s="93"/>
      <c r="H27" s="74"/>
      <c r="I27" s="93"/>
      <c r="J27" s="93"/>
      <c r="K27" s="90"/>
      <c r="L27" s="93"/>
      <c r="M27" s="90"/>
      <c r="N27" s="93"/>
      <c r="O27" s="90"/>
      <c r="P27" s="93"/>
      <c r="Q27" s="90"/>
      <c r="R27" s="93"/>
      <c r="S27" s="103"/>
    </row>
    <row r="28" spans="3:19" ht="16.5" thickTop="1">
      <c r="C28" s="71"/>
      <c r="D28" s="71"/>
      <c r="E28" s="72"/>
      <c r="F28" s="71"/>
      <c r="G28" s="71"/>
      <c r="H28" s="71"/>
      <c r="I28" s="73"/>
      <c r="J28" s="73"/>
      <c r="K28" s="73"/>
      <c r="L28" s="73"/>
      <c r="M28" s="73"/>
      <c r="N28" s="73"/>
      <c r="O28" s="73"/>
      <c r="P28" s="73"/>
      <c r="Q28" s="73"/>
      <c r="R28" s="73"/>
      <c r="S28" s="101"/>
    </row>
    <row r="29" spans="3:19" ht="15.75">
      <c r="C29" s="71"/>
      <c r="D29" s="71"/>
      <c r="E29" s="72"/>
      <c r="F29" s="71"/>
      <c r="G29" s="71"/>
      <c r="H29" s="71"/>
      <c r="I29" s="73"/>
      <c r="J29" s="73"/>
      <c r="K29" s="73"/>
      <c r="L29" s="73"/>
      <c r="M29" s="73"/>
      <c r="N29" s="73"/>
      <c r="O29" s="73"/>
      <c r="P29" s="73"/>
      <c r="Q29" s="73"/>
      <c r="R29" s="73"/>
      <c r="S29" s="101"/>
    </row>
    <row r="30" spans="3:19" s="49" customFormat="1" ht="27" customHeight="1">
      <c r="C30" s="105" t="s">
        <v>12</v>
      </c>
      <c r="D30" s="106"/>
      <c r="E30" s="114"/>
      <c r="F30" s="107"/>
      <c r="G30" s="107"/>
      <c r="H30" s="107"/>
      <c r="I30" s="108"/>
      <c r="J30" s="108"/>
      <c r="K30" s="108"/>
      <c r="L30" s="108"/>
      <c r="M30" s="108"/>
      <c r="N30" s="108"/>
      <c r="O30" s="108"/>
      <c r="P30" s="108"/>
      <c r="Q30" s="108"/>
      <c r="R30" s="108"/>
      <c r="S30" s="57"/>
    </row>
    <row r="31" spans="3:19" ht="15.75">
      <c r="C31" s="71"/>
      <c r="D31" s="71"/>
      <c r="E31" s="72"/>
      <c r="F31" s="71"/>
      <c r="G31" s="71"/>
      <c r="H31" s="71"/>
      <c r="I31" s="71"/>
      <c r="J31" s="71"/>
      <c r="K31" s="71"/>
      <c r="L31" s="71"/>
      <c r="M31" s="71"/>
      <c r="N31" s="71"/>
      <c r="O31" s="71"/>
      <c r="P31" s="71"/>
      <c r="Q31" s="71"/>
      <c r="R31" s="71"/>
      <c r="S31" s="101"/>
    </row>
    <row r="32" spans="3:19" ht="15.75">
      <c r="C32" s="71"/>
      <c r="D32" s="71"/>
      <c r="E32" s="72"/>
      <c r="F32" s="71"/>
      <c r="G32" s="71"/>
      <c r="H32" s="71"/>
      <c r="I32" s="73"/>
      <c r="J32" s="73"/>
      <c r="K32" s="73"/>
      <c r="L32" s="73"/>
      <c r="M32" s="73"/>
      <c r="N32" s="73"/>
      <c r="O32" s="73"/>
      <c r="P32" s="73"/>
      <c r="Q32" s="73"/>
      <c r="R32" s="73"/>
      <c r="S32" s="101"/>
    </row>
    <row r="33" spans="3:19" ht="15.75">
      <c r="C33" s="71"/>
      <c r="D33" s="71"/>
      <c r="E33" s="72"/>
      <c r="F33" s="71"/>
      <c r="G33" s="71"/>
      <c r="H33" s="71"/>
      <c r="I33" s="516" t="s">
        <v>37</v>
      </c>
      <c r="J33" s="516"/>
      <c r="K33" s="516"/>
      <c r="L33" s="516"/>
      <c r="M33" s="516"/>
      <c r="N33" s="516"/>
      <c r="O33" s="516"/>
      <c r="P33" s="516"/>
      <c r="Q33" s="516"/>
      <c r="R33" s="516"/>
      <c r="S33" s="101"/>
    </row>
    <row r="34" spans="3:19" ht="25.5" customHeight="1">
      <c r="C34" s="74"/>
      <c r="D34" s="74"/>
      <c r="E34" s="75"/>
      <c r="F34" s="74"/>
      <c r="G34" s="514" t="s">
        <v>58</v>
      </c>
      <c r="H34" s="74"/>
      <c r="I34" s="511" t="s">
        <v>42</v>
      </c>
      <c r="J34" s="511"/>
      <c r="K34" s="76"/>
      <c r="L34" s="512" t="s">
        <v>43</v>
      </c>
      <c r="M34" s="77"/>
      <c r="N34" s="512" t="s">
        <v>44</v>
      </c>
      <c r="O34" s="77"/>
      <c r="P34" s="512" t="s">
        <v>45</v>
      </c>
      <c r="Q34" s="77"/>
      <c r="R34" s="512" t="s">
        <v>2</v>
      </c>
      <c r="S34" s="101"/>
    </row>
    <row r="35" spans="3:19" ht="40.5" customHeight="1">
      <c r="C35" s="78" t="s">
        <v>13</v>
      </c>
      <c r="D35" s="79"/>
      <c r="E35" s="80" t="s">
        <v>14</v>
      </c>
      <c r="F35" s="79"/>
      <c r="G35" s="515"/>
      <c r="H35" s="79"/>
      <c r="I35" s="81" t="s">
        <v>46</v>
      </c>
      <c r="J35" s="81" t="s">
        <v>39</v>
      </c>
      <c r="K35" s="79"/>
      <c r="L35" s="513"/>
      <c r="M35" s="82"/>
      <c r="N35" s="513"/>
      <c r="O35" s="82"/>
      <c r="P35" s="513"/>
      <c r="Q35" s="82"/>
      <c r="R35" s="513"/>
      <c r="S35" s="104"/>
    </row>
    <row r="36" spans="3:19" ht="19.5" customHeight="1">
      <c r="C36" s="83" t="s">
        <v>50</v>
      </c>
      <c r="D36" s="71"/>
      <c r="E36" s="84"/>
      <c r="F36" s="71"/>
      <c r="G36" s="71"/>
      <c r="H36" s="71"/>
      <c r="I36" s="85"/>
      <c r="J36" s="85"/>
      <c r="K36" s="85"/>
      <c r="L36" s="85"/>
      <c r="M36" s="85"/>
      <c r="N36" s="85"/>
      <c r="O36" s="85"/>
      <c r="P36" s="85"/>
      <c r="Q36" s="85"/>
      <c r="R36" s="85"/>
      <c r="S36" s="101"/>
    </row>
    <row r="37" spans="3:19" ht="19.5" customHeight="1">
      <c r="C37" s="83" t="s">
        <v>51</v>
      </c>
      <c r="D37" s="71"/>
      <c r="E37" s="72"/>
      <c r="F37" s="71"/>
      <c r="G37" s="71"/>
      <c r="H37" s="71"/>
      <c r="I37" s="85"/>
      <c r="J37" s="85"/>
      <c r="K37" s="85"/>
      <c r="L37" s="85"/>
      <c r="M37" s="85"/>
      <c r="N37" s="85"/>
      <c r="O37" s="85"/>
      <c r="P37" s="85"/>
      <c r="Q37" s="85"/>
      <c r="R37" s="85"/>
      <c r="S37" s="101"/>
    </row>
    <row r="38" spans="3:19" ht="19.5" customHeight="1">
      <c r="C38" s="83" t="s">
        <v>49</v>
      </c>
      <c r="D38" s="71"/>
      <c r="E38" s="72"/>
      <c r="F38" s="71"/>
      <c r="G38" s="71"/>
      <c r="H38" s="71"/>
      <c r="I38" s="85"/>
      <c r="J38" s="85"/>
      <c r="K38" s="85"/>
      <c r="L38" s="85"/>
      <c r="M38" s="85"/>
      <c r="N38" s="85"/>
      <c r="O38" s="85"/>
      <c r="P38" s="85"/>
      <c r="Q38" s="85"/>
      <c r="R38" s="85"/>
      <c r="S38" s="101"/>
    </row>
    <row r="39" spans="3:19" ht="19.5" customHeight="1">
      <c r="C39" s="83" t="s">
        <v>122</v>
      </c>
      <c r="D39" s="71"/>
      <c r="E39" s="86"/>
      <c r="F39" s="71"/>
      <c r="G39" s="71"/>
      <c r="H39" s="71"/>
      <c r="I39" s="85"/>
      <c r="J39" s="85"/>
      <c r="K39" s="85"/>
      <c r="L39" s="85"/>
      <c r="M39" s="85"/>
      <c r="N39" s="85"/>
      <c r="O39" s="85"/>
      <c r="P39" s="85"/>
      <c r="Q39" s="85"/>
      <c r="R39" s="85"/>
      <c r="S39" s="101"/>
    </row>
    <row r="40" spans="3:19" ht="19.5" customHeight="1">
      <c r="C40" s="83" t="s">
        <v>120</v>
      </c>
      <c r="D40" s="71"/>
      <c r="E40" s="86"/>
      <c r="F40" s="71"/>
      <c r="G40" s="71"/>
      <c r="H40" s="71"/>
      <c r="I40" s="85"/>
      <c r="J40" s="85"/>
      <c r="K40" s="85"/>
      <c r="L40" s="85"/>
      <c r="M40" s="85"/>
      <c r="N40" s="85"/>
      <c r="O40" s="85"/>
      <c r="P40" s="85"/>
      <c r="Q40" s="85"/>
      <c r="R40" s="85"/>
      <c r="S40" s="101"/>
    </row>
    <row r="41" spans="3:19" ht="19.5" customHeight="1">
      <c r="C41" s="83" t="s">
        <v>117</v>
      </c>
      <c r="D41" s="71"/>
      <c r="E41" s="72"/>
      <c r="F41" s="71"/>
      <c r="G41" s="71"/>
      <c r="H41" s="71"/>
      <c r="I41" s="85"/>
      <c r="J41" s="85"/>
      <c r="K41" s="85"/>
      <c r="L41" s="85"/>
      <c r="M41" s="85"/>
      <c r="N41" s="85"/>
      <c r="O41" s="85"/>
      <c r="P41" s="85"/>
      <c r="Q41" s="85"/>
      <c r="R41" s="85"/>
      <c r="S41" s="101"/>
    </row>
    <row r="42" spans="3:19" ht="19.5" customHeight="1">
      <c r="C42" s="83" t="s">
        <v>119</v>
      </c>
      <c r="D42" s="71"/>
      <c r="E42" s="72"/>
      <c r="F42" s="71"/>
      <c r="G42" s="71"/>
      <c r="H42" s="71"/>
      <c r="I42" s="85"/>
      <c r="J42" s="85"/>
      <c r="K42" s="85"/>
      <c r="L42" s="85"/>
      <c r="M42" s="85"/>
      <c r="N42" s="85"/>
      <c r="O42" s="85"/>
      <c r="P42" s="85"/>
      <c r="Q42" s="85"/>
      <c r="R42" s="85"/>
      <c r="S42" s="101"/>
    </row>
    <row r="43" spans="3:19" ht="19.5" customHeight="1">
      <c r="C43" s="83" t="s">
        <v>52</v>
      </c>
      <c r="D43" s="71"/>
      <c r="E43" s="72"/>
      <c r="F43" s="71"/>
      <c r="G43" s="71"/>
      <c r="H43" s="71"/>
      <c r="I43" s="85"/>
      <c r="J43" s="85"/>
      <c r="K43" s="85"/>
      <c r="L43" s="85"/>
      <c r="M43" s="85"/>
      <c r="N43" s="85"/>
      <c r="O43" s="85"/>
      <c r="P43" s="85"/>
      <c r="Q43" s="85"/>
      <c r="R43" s="85"/>
      <c r="S43" s="101"/>
    </row>
    <row r="44" spans="3:19" ht="15.75">
      <c r="C44" s="71"/>
      <c r="D44" s="71"/>
      <c r="E44" s="72"/>
      <c r="F44" s="71"/>
      <c r="G44" s="87"/>
      <c r="H44" s="71"/>
      <c r="I44" s="88"/>
      <c r="J44" s="88"/>
      <c r="K44" s="85"/>
      <c r="L44" s="88"/>
      <c r="M44" s="85"/>
      <c r="N44" s="88"/>
      <c r="O44" s="85"/>
      <c r="P44" s="88"/>
      <c r="Q44" s="85"/>
      <c r="R44" s="88"/>
      <c r="S44" s="101"/>
    </row>
    <row r="45" spans="3:19" ht="31.5" customHeight="1">
      <c r="C45" s="89" t="s">
        <v>53</v>
      </c>
      <c r="D45" s="74"/>
      <c r="E45" s="75"/>
      <c r="F45" s="74"/>
      <c r="G45" s="74"/>
      <c r="H45" s="74"/>
      <c r="I45" s="90"/>
      <c r="J45" s="90"/>
      <c r="K45" s="90"/>
      <c r="L45" s="90"/>
      <c r="M45" s="90"/>
      <c r="N45" s="90"/>
      <c r="O45" s="90"/>
      <c r="P45" s="90"/>
      <c r="Q45" s="90"/>
      <c r="R45" s="90"/>
      <c r="S45" s="101"/>
    </row>
    <row r="46" spans="3:19" ht="31.5" customHeight="1">
      <c r="C46" s="89" t="s">
        <v>57</v>
      </c>
      <c r="D46" s="74"/>
      <c r="E46" s="75"/>
      <c r="F46" s="74"/>
      <c r="G46" s="74"/>
      <c r="H46" s="74"/>
      <c r="I46" s="90"/>
      <c r="J46" s="90"/>
      <c r="K46" s="90"/>
      <c r="L46" s="90"/>
      <c r="M46" s="90"/>
      <c r="N46" s="90"/>
      <c r="O46" s="90"/>
      <c r="P46" s="90"/>
      <c r="Q46" s="90"/>
      <c r="R46" s="90"/>
      <c r="S46" s="101"/>
    </row>
    <row r="47" spans="3:18" ht="18">
      <c r="C47" s="89"/>
      <c r="D47" s="74"/>
      <c r="E47" s="75"/>
      <c r="F47" s="74"/>
      <c r="G47" s="91"/>
      <c r="H47" s="74"/>
      <c r="I47" s="91"/>
      <c r="J47" s="91"/>
      <c r="K47" s="90"/>
      <c r="L47" s="91"/>
      <c r="M47" s="90"/>
      <c r="N47" s="91"/>
      <c r="O47" s="90"/>
      <c r="P47" s="91"/>
      <c r="Q47" s="90"/>
      <c r="R47" s="91"/>
    </row>
    <row r="48" spans="3:18" ht="25.5" customHeight="1">
      <c r="C48" s="92" t="s">
        <v>54</v>
      </c>
      <c r="D48" s="74"/>
      <c r="E48" s="75"/>
      <c r="F48" s="74"/>
      <c r="G48" s="74"/>
      <c r="H48" s="74"/>
      <c r="I48" s="74"/>
      <c r="J48" s="74"/>
      <c r="K48" s="90"/>
      <c r="L48" s="74"/>
      <c r="M48" s="90"/>
      <c r="N48" s="74"/>
      <c r="O48" s="90"/>
      <c r="P48" s="74"/>
      <c r="Q48" s="90"/>
      <c r="R48" s="74"/>
    </row>
    <row r="49" spans="3:18" ht="25.5" customHeight="1">
      <c r="C49" s="92" t="s">
        <v>55</v>
      </c>
      <c r="D49" s="74"/>
      <c r="E49" s="75"/>
      <c r="F49" s="74"/>
      <c r="G49" s="74"/>
      <c r="H49" s="74"/>
      <c r="I49" s="74"/>
      <c r="J49" s="74"/>
      <c r="K49" s="90"/>
      <c r="L49" s="74"/>
      <c r="M49" s="90"/>
      <c r="N49" s="74"/>
      <c r="O49" s="90"/>
      <c r="P49" s="74"/>
      <c r="Q49" s="90"/>
      <c r="R49" s="74"/>
    </row>
    <row r="50" spans="3:18" ht="29.25" customHeight="1" thickBot="1">
      <c r="C50" s="92" t="s">
        <v>56</v>
      </c>
      <c r="D50" s="74"/>
      <c r="E50" s="75"/>
      <c r="F50" s="74"/>
      <c r="G50" s="93"/>
      <c r="H50" s="74"/>
      <c r="I50" s="93"/>
      <c r="J50" s="93"/>
      <c r="K50" s="90"/>
      <c r="L50" s="93"/>
      <c r="M50" s="90"/>
      <c r="N50" s="93"/>
      <c r="O50" s="90"/>
      <c r="P50" s="93"/>
      <c r="Q50" s="90"/>
      <c r="R50" s="93"/>
    </row>
    <row r="51" spans="1:27" ht="12.75" customHeight="1" thickTop="1">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row>
    <row r="52" spans="1:27" ht="32.25" customHeight="1">
      <c r="A52" s="503">
        <v>7</v>
      </c>
      <c r="B52" s="503"/>
      <c r="C52" s="503"/>
      <c r="D52" s="503"/>
      <c r="E52" s="503"/>
      <c r="F52" s="503"/>
      <c r="G52" s="503"/>
      <c r="H52" s="503"/>
      <c r="I52" s="503"/>
      <c r="J52" s="503"/>
      <c r="K52" s="503"/>
      <c r="L52" s="503"/>
      <c r="M52" s="503"/>
      <c r="N52" s="503"/>
      <c r="O52" s="503"/>
      <c r="P52" s="503"/>
      <c r="Q52" s="503"/>
      <c r="R52" s="503"/>
      <c r="S52" s="94"/>
      <c r="T52" s="94"/>
      <c r="U52" s="94"/>
      <c r="V52" s="94"/>
      <c r="W52" s="94"/>
      <c r="X52" s="94"/>
      <c r="Y52" s="94"/>
      <c r="Z52" s="94"/>
      <c r="AA52" s="94"/>
    </row>
  </sheetData>
  <sheetProtection/>
  <mergeCells count="19">
    <mergeCell ref="N34:N35"/>
    <mergeCell ref="P34:P35"/>
    <mergeCell ref="I33:R33"/>
    <mergeCell ref="R34:R35"/>
    <mergeCell ref="A1:R1"/>
    <mergeCell ref="A2:R2"/>
    <mergeCell ref="G34:G35"/>
    <mergeCell ref="I34:J34"/>
    <mergeCell ref="A3:R3"/>
    <mergeCell ref="A52:R52"/>
    <mergeCell ref="C5:R5"/>
    <mergeCell ref="I10:R10"/>
    <mergeCell ref="I11:J11"/>
    <mergeCell ref="L11:L12"/>
    <mergeCell ref="N11:N12"/>
    <mergeCell ref="P11:P12"/>
    <mergeCell ref="R11:R12"/>
    <mergeCell ref="G11:G12"/>
    <mergeCell ref="L34:L35"/>
  </mergeCells>
  <printOptions/>
  <pageMargins left="0.7" right="0.7" top="0.75" bottom="0.75" header="0.3" footer="0.3"/>
  <pageSetup horizontalDpi="600" verticalDpi="600" orientation="portrait" paperSize="9" scale="43" r:id="rId1"/>
  <ignoredErrors>
    <ignoredError sqref="E16:E18" twoDigitTextYear="1"/>
  </ignoredErrors>
</worksheet>
</file>

<file path=xl/worksheets/sheet4.xml><?xml version="1.0" encoding="utf-8"?>
<worksheet xmlns="http://schemas.openxmlformats.org/spreadsheetml/2006/main" xmlns:r="http://schemas.openxmlformats.org/officeDocument/2006/relationships">
  <sheetPr>
    <tabColor theme="0"/>
  </sheetPr>
  <dimension ref="A1:S39"/>
  <sheetViews>
    <sheetView rightToLeft="1" view="pageBreakPreview" zoomScale="60" zoomScalePageLayoutView="0" workbookViewId="0" topLeftCell="A1">
      <selection activeCell="F18" sqref="F18"/>
    </sheetView>
  </sheetViews>
  <sheetFormatPr defaultColWidth="9.140625" defaultRowHeight="12.75"/>
  <cols>
    <col min="1" max="1" width="0.5625" style="121" customWidth="1"/>
    <col min="2" max="2" width="50.421875" style="121" bestFit="1" customWidth="1"/>
    <col min="3" max="3" width="2.8515625" style="121" customWidth="1"/>
    <col min="4" max="4" width="17.57421875" style="121" customWidth="1"/>
    <col min="5" max="5" width="2.57421875" style="121" customWidth="1"/>
    <col min="6" max="6" width="17.7109375" style="121" customWidth="1"/>
    <col min="7" max="7" width="3.7109375" style="121" customWidth="1"/>
    <col min="8" max="8" width="12.00390625" style="121" bestFit="1" customWidth="1"/>
    <col min="9" max="9" width="3.140625" style="121" customWidth="1"/>
    <col min="10" max="10" width="12.00390625" style="121" bestFit="1" customWidth="1"/>
    <col min="11" max="11" width="2.8515625" style="121" customWidth="1"/>
    <col min="12" max="12" width="13.7109375" style="121" bestFit="1" customWidth="1"/>
    <col min="13" max="13" width="3.421875" style="121" customWidth="1"/>
    <col min="14" max="14" width="12.00390625" style="121" bestFit="1" customWidth="1"/>
    <col min="15" max="15" width="8.140625" style="121" customWidth="1"/>
    <col min="16" max="16" width="17.57421875" style="121" bestFit="1" customWidth="1"/>
    <col min="17" max="17" width="2.00390625" style="121" customWidth="1"/>
    <col min="18" max="18" width="16.7109375" style="121" customWidth="1"/>
    <col min="19" max="16384" width="9.140625" style="121" customWidth="1"/>
  </cols>
  <sheetData>
    <row r="1" spans="1:19" ht="32.25" customHeight="1">
      <c r="A1" s="120"/>
      <c r="B1" s="500" t="s">
        <v>148</v>
      </c>
      <c r="C1" s="500"/>
      <c r="D1" s="500"/>
      <c r="E1" s="500"/>
      <c r="F1" s="500"/>
      <c r="G1" s="500"/>
      <c r="H1" s="500"/>
      <c r="I1" s="500"/>
      <c r="J1" s="500"/>
      <c r="K1" s="500"/>
      <c r="L1" s="500"/>
      <c r="M1" s="500"/>
      <c r="N1" s="500"/>
      <c r="O1" s="500"/>
      <c r="P1" s="500"/>
      <c r="Q1" s="500"/>
      <c r="R1" s="500"/>
      <c r="S1" s="56"/>
    </row>
    <row r="2" spans="1:19" ht="32.25" customHeight="1">
      <c r="A2" s="120"/>
      <c r="B2" s="501" t="s">
        <v>114</v>
      </c>
      <c r="C2" s="501"/>
      <c r="D2" s="501"/>
      <c r="E2" s="501"/>
      <c r="F2" s="501"/>
      <c r="G2" s="501"/>
      <c r="H2" s="501"/>
      <c r="I2" s="501"/>
      <c r="J2" s="501"/>
      <c r="K2" s="501"/>
      <c r="L2" s="501"/>
      <c r="M2" s="501"/>
      <c r="N2" s="501"/>
      <c r="O2" s="501"/>
      <c r="P2" s="501"/>
      <c r="Q2" s="501"/>
      <c r="R2" s="501"/>
      <c r="S2" s="56"/>
    </row>
    <row r="3" spans="1:19" ht="32.25" customHeight="1">
      <c r="A3" s="120"/>
      <c r="B3" s="502" t="s">
        <v>113</v>
      </c>
      <c r="C3" s="502"/>
      <c r="D3" s="502"/>
      <c r="E3" s="502"/>
      <c r="F3" s="502"/>
      <c r="G3" s="502"/>
      <c r="H3" s="502"/>
      <c r="I3" s="502"/>
      <c r="J3" s="502"/>
      <c r="K3" s="502"/>
      <c r="L3" s="502"/>
      <c r="M3" s="502"/>
      <c r="N3" s="502"/>
      <c r="O3" s="502"/>
      <c r="P3" s="502"/>
      <c r="Q3" s="502"/>
      <c r="R3" s="502"/>
      <c r="S3" s="48"/>
    </row>
    <row r="4" spans="1:11" s="117" customFormat="1" ht="62.25" customHeight="1">
      <c r="A4" s="116"/>
      <c r="B4" s="520" t="s">
        <v>124</v>
      </c>
      <c r="C4" s="521"/>
      <c r="D4" s="521"/>
      <c r="E4" s="521"/>
      <c r="F4" s="521"/>
      <c r="G4" s="521"/>
      <c r="H4" s="521"/>
      <c r="I4" s="521"/>
      <c r="J4" s="116"/>
      <c r="K4" s="116"/>
    </row>
    <row r="5" spans="1:11" s="123" customFormat="1" ht="32.25" customHeight="1">
      <c r="A5" s="122"/>
      <c r="B5" s="522"/>
      <c r="C5" s="4"/>
      <c r="D5" s="524"/>
      <c r="E5" s="524"/>
      <c r="F5" s="524"/>
      <c r="G5" s="524"/>
      <c r="H5" s="524"/>
      <c r="I5" s="524"/>
      <c r="J5" s="122"/>
      <c r="K5" s="122"/>
    </row>
    <row r="6" spans="1:18" s="142" customFormat="1" ht="42" customHeight="1">
      <c r="A6" s="140"/>
      <c r="B6" s="522"/>
      <c r="C6" s="141"/>
      <c r="D6" s="525" t="s">
        <v>40</v>
      </c>
      <c r="E6" s="525"/>
      <c r="F6" s="525"/>
      <c r="G6" s="525"/>
      <c r="H6" s="525"/>
      <c r="I6" s="525"/>
      <c r="J6" s="525"/>
      <c r="K6" s="525"/>
      <c r="L6" s="525"/>
      <c r="M6" s="525"/>
      <c r="N6" s="525"/>
      <c r="O6" s="54"/>
      <c r="P6" s="518" t="s">
        <v>37</v>
      </c>
      <c r="Q6" s="518"/>
      <c r="R6" s="518"/>
    </row>
    <row r="7" spans="1:18" s="142" customFormat="1" ht="73.5" customHeight="1">
      <c r="A7" s="140"/>
      <c r="B7" s="523"/>
      <c r="C7" s="143"/>
      <c r="D7" s="518" t="s">
        <v>42</v>
      </c>
      <c r="E7" s="518"/>
      <c r="F7" s="518"/>
      <c r="G7" s="144"/>
      <c r="H7" s="518" t="s">
        <v>43</v>
      </c>
      <c r="I7" s="144"/>
      <c r="J7" s="518" t="s">
        <v>44</v>
      </c>
      <c r="K7" s="144"/>
      <c r="L7" s="518" t="s">
        <v>45</v>
      </c>
      <c r="M7" s="144"/>
      <c r="N7" s="518" t="s">
        <v>2</v>
      </c>
      <c r="O7" s="54"/>
      <c r="P7" s="519"/>
      <c r="Q7" s="519"/>
      <c r="R7" s="519"/>
    </row>
    <row r="8" spans="1:18" s="142" customFormat="1" ht="45" customHeight="1">
      <c r="A8" s="140"/>
      <c r="B8" s="145"/>
      <c r="C8" s="143"/>
      <c r="D8" s="146" t="s">
        <v>46</v>
      </c>
      <c r="E8" s="147"/>
      <c r="F8" s="148" t="s">
        <v>59</v>
      </c>
      <c r="G8" s="54"/>
      <c r="H8" s="519"/>
      <c r="I8" s="54"/>
      <c r="J8" s="519"/>
      <c r="K8" s="54"/>
      <c r="L8" s="519"/>
      <c r="M8" s="54"/>
      <c r="N8" s="519"/>
      <c r="O8" s="54"/>
      <c r="P8" s="148" t="s">
        <v>3</v>
      </c>
      <c r="Q8" s="144"/>
      <c r="R8" s="148" t="s">
        <v>42</v>
      </c>
    </row>
    <row r="9" spans="1:18" s="142" customFormat="1" ht="27" customHeight="1">
      <c r="A9" s="140"/>
      <c r="C9" s="149"/>
      <c r="D9" s="144" t="s">
        <v>1</v>
      </c>
      <c r="E9" s="54"/>
      <c r="F9" s="144" t="s">
        <v>1</v>
      </c>
      <c r="G9" s="143"/>
      <c r="H9" s="144" t="s">
        <v>1</v>
      </c>
      <c r="I9" s="143"/>
      <c r="J9" s="144" t="s">
        <v>1</v>
      </c>
      <c r="K9" s="143"/>
      <c r="L9" s="144" t="s">
        <v>1</v>
      </c>
      <c r="M9" s="143"/>
      <c r="N9" s="54" t="s">
        <v>1</v>
      </c>
      <c r="O9" s="54"/>
      <c r="P9" s="54" t="s">
        <v>1</v>
      </c>
      <c r="Q9" s="54"/>
      <c r="R9" s="54" t="s">
        <v>1</v>
      </c>
    </row>
    <row r="10" spans="1:11" s="123" customFormat="1" ht="30.75" customHeight="1">
      <c r="A10" s="122"/>
      <c r="B10" s="119" t="s">
        <v>15</v>
      </c>
      <c r="C10" s="124"/>
      <c r="D10" s="125"/>
      <c r="E10" s="125"/>
      <c r="F10" s="124"/>
      <c r="G10" s="125"/>
      <c r="H10" s="124"/>
      <c r="I10" s="125"/>
      <c r="J10" s="122"/>
      <c r="K10" s="122"/>
    </row>
    <row r="11" spans="1:11" s="123" customFormat="1" ht="30.75" customHeight="1">
      <c r="A11" s="122"/>
      <c r="B11" s="119" t="s">
        <v>25</v>
      </c>
      <c r="C11" s="124"/>
      <c r="D11" s="125"/>
      <c r="E11" s="125"/>
      <c r="F11" s="124"/>
      <c r="G11" s="125"/>
      <c r="H11" s="124"/>
      <c r="I11" s="125"/>
      <c r="J11" s="122"/>
      <c r="K11" s="122"/>
    </row>
    <row r="12" spans="1:11" s="123" customFormat="1" ht="30.75" customHeight="1">
      <c r="A12" s="122"/>
      <c r="B12" s="119" t="s">
        <v>24</v>
      </c>
      <c r="C12" s="124"/>
      <c r="D12" s="125"/>
      <c r="E12" s="125"/>
      <c r="F12" s="124"/>
      <c r="G12" s="125"/>
      <c r="H12" s="124"/>
      <c r="I12" s="125"/>
      <c r="J12" s="122"/>
      <c r="K12" s="122"/>
    </row>
    <row r="13" spans="1:11" s="123" customFormat="1" ht="30.75" customHeight="1">
      <c r="A13" s="122"/>
      <c r="B13" s="119" t="s">
        <v>23</v>
      </c>
      <c r="C13" s="124"/>
      <c r="D13" s="125"/>
      <c r="E13" s="125"/>
      <c r="F13" s="124"/>
      <c r="G13" s="125"/>
      <c r="H13" s="124"/>
      <c r="I13" s="125"/>
      <c r="J13" s="122"/>
      <c r="K13" s="122"/>
    </row>
    <row r="14" spans="1:11" s="123" customFormat="1" ht="30.75" customHeight="1">
      <c r="A14" s="122"/>
      <c r="B14" s="119" t="s">
        <v>26</v>
      </c>
      <c r="C14" s="124"/>
      <c r="D14" s="125"/>
      <c r="E14" s="125"/>
      <c r="F14" s="124"/>
      <c r="G14" s="125"/>
      <c r="H14" s="124"/>
      <c r="I14" s="125"/>
      <c r="J14" s="122"/>
      <c r="K14" s="122"/>
    </row>
    <row r="15" spans="1:11" s="123" customFormat="1" ht="30.75" customHeight="1">
      <c r="A15" s="122"/>
      <c r="B15" s="119" t="s">
        <v>27</v>
      </c>
      <c r="C15" s="124"/>
      <c r="D15" s="125"/>
      <c r="E15" s="125"/>
      <c r="F15" s="124"/>
      <c r="G15" s="125"/>
      <c r="H15" s="124"/>
      <c r="I15" s="125"/>
      <c r="J15" s="122"/>
      <c r="K15" s="122"/>
    </row>
    <row r="16" spans="1:11" s="123" customFormat="1" ht="30.75" customHeight="1">
      <c r="A16" s="122"/>
      <c r="B16" s="119" t="s">
        <v>28</v>
      </c>
      <c r="C16" s="124"/>
      <c r="D16" s="125"/>
      <c r="E16" s="125"/>
      <c r="F16" s="124"/>
      <c r="G16" s="125"/>
      <c r="H16" s="124"/>
      <c r="I16" s="125"/>
      <c r="J16" s="122"/>
      <c r="K16" s="122"/>
    </row>
    <row r="17" spans="1:11" s="123" customFormat="1" ht="30.75" customHeight="1">
      <c r="A17" s="122"/>
      <c r="B17" s="119" t="s">
        <v>29</v>
      </c>
      <c r="C17" s="124"/>
      <c r="D17" s="125"/>
      <c r="E17" s="125"/>
      <c r="F17" s="124"/>
      <c r="G17" s="125"/>
      <c r="H17" s="124"/>
      <c r="I17" s="125"/>
      <c r="J17" s="122"/>
      <c r="K17" s="122"/>
    </row>
    <row r="18" spans="1:11" s="123" customFormat="1" ht="30.75" customHeight="1">
      <c r="A18" s="122"/>
      <c r="B18" s="119" t="s">
        <v>30</v>
      </c>
      <c r="C18" s="124"/>
      <c r="D18" s="125"/>
      <c r="E18" s="125"/>
      <c r="F18" s="124"/>
      <c r="G18" s="125"/>
      <c r="H18" s="124"/>
      <c r="I18" s="125"/>
      <c r="J18" s="122"/>
      <c r="K18" s="122"/>
    </row>
    <row r="19" spans="1:11" s="123" customFormat="1" ht="30.75" customHeight="1">
      <c r="A19" s="122"/>
      <c r="B19" s="119" t="s">
        <v>31</v>
      </c>
      <c r="C19" s="124"/>
      <c r="D19" s="125"/>
      <c r="E19" s="125"/>
      <c r="F19" s="124"/>
      <c r="G19" s="125"/>
      <c r="H19" s="124"/>
      <c r="I19" s="125"/>
      <c r="J19" s="122"/>
      <c r="K19" s="122"/>
    </row>
    <row r="20" spans="1:11" s="123" customFormat="1" ht="30.75" customHeight="1">
      <c r="A20" s="122"/>
      <c r="B20" s="119" t="s">
        <v>33</v>
      </c>
      <c r="C20" s="124"/>
      <c r="D20" s="125"/>
      <c r="E20" s="125"/>
      <c r="F20" s="124"/>
      <c r="G20" s="125"/>
      <c r="H20" s="124"/>
      <c r="I20" s="125"/>
      <c r="J20" s="122"/>
      <c r="K20" s="122"/>
    </row>
    <row r="21" spans="1:11" s="123" customFormat="1" ht="30.75" customHeight="1">
      <c r="A21" s="122"/>
      <c r="B21" s="119" t="s">
        <v>32</v>
      </c>
      <c r="C21" s="124"/>
      <c r="D21" s="125"/>
      <c r="E21" s="125"/>
      <c r="F21" s="124"/>
      <c r="G21" s="125"/>
      <c r="H21" s="124"/>
      <c r="I21" s="125"/>
      <c r="J21" s="122"/>
      <c r="K21" s="122"/>
    </row>
    <row r="22" spans="1:11" s="123" customFormat="1" ht="30.75" customHeight="1">
      <c r="A22" s="122"/>
      <c r="B22" s="119" t="s">
        <v>16</v>
      </c>
      <c r="C22" s="124"/>
      <c r="D22" s="125"/>
      <c r="E22" s="125"/>
      <c r="F22" s="124"/>
      <c r="G22" s="125"/>
      <c r="H22" s="124"/>
      <c r="I22" s="125"/>
      <c r="J22" s="122"/>
      <c r="K22" s="122"/>
    </row>
    <row r="23" spans="1:11" s="123" customFormat="1" ht="30.75" customHeight="1">
      <c r="A23" s="122"/>
      <c r="B23" s="119" t="s">
        <v>17</v>
      </c>
      <c r="C23" s="124"/>
      <c r="D23" s="125"/>
      <c r="E23" s="125"/>
      <c r="F23" s="124"/>
      <c r="G23" s="125"/>
      <c r="H23" s="124"/>
      <c r="I23" s="125"/>
      <c r="J23" s="122"/>
      <c r="K23" s="122"/>
    </row>
    <row r="24" spans="1:11" s="123" customFormat="1" ht="30.75" customHeight="1">
      <c r="A24" s="122"/>
      <c r="B24" s="119" t="s">
        <v>18</v>
      </c>
      <c r="C24" s="124"/>
      <c r="D24" s="125"/>
      <c r="E24" s="125"/>
      <c r="F24" s="124"/>
      <c r="G24" s="125"/>
      <c r="H24" s="124"/>
      <c r="I24" s="125"/>
      <c r="J24" s="122"/>
      <c r="K24" s="122"/>
    </row>
    <row r="25" spans="1:11" s="123" customFormat="1" ht="30.75" customHeight="1">
      <c r="A25" s="122"/>
      <c r="B25" s="119" t="s">
        <v>19</v>
      </c>
      <c r="C25" s="124"/>
      <c r="D25" s="125"/>
      <c r="E25" s="125"/>
      <c r="F25" s="124"/>
      <c r="G25" s="125"/>
      <c r="H25" s="124"/>
      <c r="I25" s="125"/>
      <c r="J25" s="122"/>
      <c r="K25" s="122"/>
    </row>
    <row r="26" spans="1:11" s="123" customFormat="1" ht="30.75" customHeight="1">
      <c r="A26" s="122"/>
      <c r="B26" s="119" t="s">
        <v>20</v>
      </c>
      <c r="C26" s="124"/>
      <c r="D26" s="125"/>
      <c r="E26" s="125"/>
      <c r="F26" s="124"/>
      <c r="G26" s="125"/>
      <c r="H26" s="124"/>
      <c r="I26" s="125"/>
      <c r="J26" s="122"/>
      <c r="K26" s="122"/>
    </row>
    <row r="27" spans="1:12" s="123" customFormat="1" ht="30.75" customHeight="1">
      <c r="A27" s="122"/>
      <c r="B27" s="119" t="s">
        <v>21</v>
      </c>
      <c r="C27" s="124"/>
      <c r="D27" s="125"/>
      <c r="E27" s="125"/>
      <c r="F27" s="124"/>
      <c r="G27" s="125"/>
      <c r="H27" s="124"/>
      <c r="I27" s="125"/>
      <c r="J27" s="126"/>
      <c r="K27" s="126"/>
      <c r="L27" s="50"/>
    </row>
    <row r="28" spans="1:12" s="123" customFormat="1" ht="30.75" customHeight="1">
      <c r="A28" s="122"/>
      <c r="B28" s="119" t="s">
        <v>22</v>
      </c>
      <c r="C28" s="124"/>
      <c r="D28" s="125"/>
      <c r="E28" s="125"/>
      <c r="F28" s="124"/>
      <c r="G28" s="125"/>
      <c r="H28" s="124"/>
      <c r="I28" s="125"/>
      <c r="J28" s="126"/>
      <c r="K28" s="126"/>
      <c r="L28" s="50"/>
    </row>
    <row r="29" spans="1:18" s="123" customFormat="1" ht="24.75" customHeight="1">
      <c r="A29" s="122"/>
      <c r="B29" s="118"/>
      <c r="C29" s="124"/>
      <c r="D29" s="127"/>
      <c r="E29" s="125"/>
      <c r="F29" s="127"/>
      <c r="G29" s="125"/>
      <c r="H29" s="127"/>
      <c r="I29" s="125"/>
      <c r="J29" s="127"/>
      <c r="K29" s="125"/>
      <c r="L29" s="127"/>
      <c r="N29" s="127"/>
      <c r="P29" s="127"/>
      <c r="R29" s="127"/>
    </row>
    <row r="30" spans="1:18" s="132" customFormat="1" ht="29.25" customHeight="1">
      <c r="A30" s="128"/>
      <c r="B30" s="129" t="s">
        <v>121</v>
      </c>
      <c r="C30" s="130"/>
      <c r="D30" s="131"/>
      <c r="E30" s="131"/>
      <c r="F30" s="131"/>
      <c r="G30" s="131"/>
      <c r="H30" s="131"/>
      <c r="I30" s="131"/>
      <c r="J30" s="131"/>
      <c r="K30" s="131"/>
      <c r="L30" s="131"/>
      <c r="N30" s="131"/>
      <c r="P30" s="131"/>
      <c r="R30" s="131"/>
    </row>
    <row r="31" spans="3:18" ht="26.25" customHeight="1" thickBot="1">
      <c r="C31" s="133"/>
      <c r="D31" s="134"/>
      <c r="E31" s="133"/>
      <c r="F31" s="134"/>
      <c r="G31" s="133"/>
      <c r="H31" s="134"/>
      <c r="I31" s="133"/>
      <c r="J31" s="134"/>
      <c r="K31" s="133"/>
      <c r="L31" s="134"/>
      <c r="N31" s="134"/>
      <c r="P31" s="134"/>
      <c r="R31" s="134"/>
    </row>
    <row r="32" spans="10:12" ht="16.5" thickTop="1">
      <c r="J32" s="133"/>
      <c r="K32" s="133"/>
      <c r="L32" s="133"/>
    </row>
    <row r="39" spans="2:18" ht="32.25" customHeight="1">
      <c r="B39" s="517">
        <v>9</v>
      </c>
      <c r="C39" s="517"/>
      <c r="D39" s="517"/>
      <c r="E39" s="517"/>
      <c r="F39" s="517"/>
      <c r="G39" s="517"/>
      <c r="H39" s="517"/>
      <c r="I39" s="517"/>
      <c r="J39" s="517"/>
      <c r="K39" s="517"/>
      <c r="L39" s="517"/>
      <c r="M39" s="517"/>
      <c r="N39" s="517"/>
      <c r="O39" s="517"/>
      <c r="P39" s="517"/>
      <c r="Q39" s="517"/>
      <c r="R39" s="517"/>
    </row>
  </sheetData>
  <sheetProtection/>
  <mergeCells count="14">
    <mergeCell ref="N7:N8"/>
    <mergeCell ref="B1:R1"/>
    <mergeCell ref="B2:R2"/>
    <mergeCell ref="B3:R3"/>
    <mergeCell ref="B39:R39"/>
    <mergeCell ref="P6:R7"/>
    <mergeCell ref="B4:I4"/>
    <mergeCell ref="B5:B7"/>
    <mergeCell ref="D5:I5"/>
    <mergeCell ref="D6:N6"/>
    <mergeCell ref="D7:F7"/>
    <mergeCell ref="H7:H8"/>
    <mergeCell ref="J7:J8"/>
    <mergeCell ref="L7:L8"/>
  </mergeCells>
  <printOptions/>
  <pageMargins left="0.7" right="0.7" top="0.75" bottom="0.75" header="0.3" footer="0.3"/>
  <pageSetup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sheetPr>
    <tabColor theme="0"/>
  </sheetPr>
  <dimension ref="A1:P63"/>
  <sheetViews>
    <sheetView rightToLeft="1" view="pageBreakPreview" zoomScale="96" zoomScaleSheetLayoutView="96" zoomScalePageLayoutView="0" workbookViewId="0" topLeftCell="A1">
      <selection activeCell="A14" sqref="A14"/>
    </sheetView>
  </sheetViews>
  <sheetFormatPr defaultColWidth="9.140625" defaultRowHeight="12.75"/>
  <cols>
    <col min="1" max="1" width="22.00390625" style="121" customWidth="1"/>
    <col min="2" max="2" width="5.00390625" style="121" customWidth="1"/>
    <col min="3" max="3" width="8.57421875" style="121" customWidth="1"/>
    <col min="4" max="4" width="1.57421875" style="121" customWidth="1"/>
    <col min="5" max="5" width="9.140625" style="121" customWidth="1"/>
    <col min="6" max="6" width="1.1484375" style="121" customWidth="1"/>
    <col min="7" max="7" width="11.421875" style="121" customWidth="1"/>
    <col min="8" max="8" width="1.28515625" style="121" customWidth="1"/>
    <col min="9" max="9" width="9.140625" style="121" customWidth="1"/>
    <col min="10" max="10" width="1.1484375" style="121" customWidth="1"/>
    <col min="11" max="11" width="9.140625" style="121" customWidth="1"/>
    <col min="12" max="12" width="5.28125" style="121" customWidth="1"/>
    <col min="13" max="13" width="10.7109375" style="121" bestFit="1" customWidth="1"/>
    <col min="14" max="14" width="1.57421875" style="121" customWidth="1"/>
    <col min="15" max="15" width="7.57421875" style="121" bestFit="1" customWidth="1"/>
    <col min="16" max="16384" width="9.140625" style="121" customWidth="1"/>
  </cols>
  <sheetData>
    <row r="1" spans="1:16" ht="31.5">
      <c r="A1" s="500" t="s">
        <v>148</v>
      </c>
      <c r="B1" s="500"/>
      <c r="C1" s="500"/>
      <c r="D1" s="500"/>
      <c r="E1" s="500"/>
      <c r="F1" s="500"/>
      <c r="G1" s="500"/>
      <c r="H1" s="500"/>
      <c r="I1" s="500"/>
      <c r="J1" s="500"/>
      <c r="K1" s="500"/>
      <c r="L1" s="500"/>
      <c r="M1" s="500"/>
      <c r="N1" s="500"/>
      <c r="O1" s="500"/>
      <c r="P1" s="500"/>
    </row>
    <row r="2" spans="1:16" ht="27.75">
      <c r="A2" s="501"/>
      <c r="B2" s="501"/>
      <c r="C2" s="501"/>
      <c r="D2" s="501"/>
      <c r="E2" s="501"/>
      <c r="F2" s="501"/>
      <c r="G2" s="501"/>
      <c r="H2" s="501"/>
      <c r="I2" s="501"/>
      <c r="J2" s="501"/>
      <c r="K2" s="501"/>
      <c r="L2" s="501"/>
      <c r="M2" s="501"/>
      <c r="N2" s="501"/>
      <c r="O2" s="501"/>
      <c r="P2" s="501"/>
    </row>
    <row r="3" spans="1:16" ht="30" customHeight="1">
      <c r="A3" s="502" t="s">
        <v>197</v>
      </c>
      <c r="B3" s="502"/>
      <c r="C3" s="502"/>
      <c r="D3" s="502"/>
      <c r="E3" s="502"/>
      <c r="F3" s="502"/>
      <c r="G3" s="502"/>
      <c r="H3" s="502"/>
      <c r="I3" s="502"/>
      <c r="J3" s="502"/>
      <c r="K3" s="502"/>
      <c r="L3" s="502"/>
      <c r="M3" s="502"/>
      <c r="N3" s="502"/>
      <c r="O3" s="502"/>
      <c r="P3" s="502"/>
    </row>
    <row r="4" spans="1:16" ht="30" customHeight="1">
      <c r="A4" s="470"/>
      <c r="B4" s="470"/>
      <c r="C4" s="470"/>
      <c r="D4" s="470"/>
      <c r="E4" s="470"/>
      <c r="F4" s="470"/>
      <c r="G4" s="470"/>
      <c r="H4" s="470"/>
      <c r="I4" s="470"/>
      <c r="J4" s="470"/>
      <c r="K4" s="470"/>
      <c r="L4" s="470"/>
      <c r="M4" s="470"/>
      <c r="N4" s="470"/>
      <c r="O4" s="470"/>
      <c r="P4" s="470"/>
    </row>
    <row r="5" spans="1:7" s="135" customFormat="1" ht="45" customHeight="1">
      <c r="A5" s="532" t="s">
        <v>251</v>
      </c>
      <c r="B5" s="532"/>
      <c r="C5" s="532"/>
      <c r="D5" s="532"/>
      <c r="E5" s="532"/>
      <c r="F5" s="532"/>
      <c r="G5" s="532"/>
    </row>
    <row r="6" spans="1:15" s="157" customFormat="1" ht="24.75" customHeight="1">
      <c r="A6" s="527"/>
      <c r="B6" s="43"/>
      <c r="C6" s="529"/>
      <c r="D6" s="529"/>
      <c r="E6" s="530"/>
      <c r="F6" s="530"/>
      <c r="G6" s="155"/>
      <c r="H6" s="156"/>
      <c r="I6" s="156"/>
      <c r="J6" s="475"/>
      <c r="K6" s="475"/>
      <c r="L6" s="475"/>
      <c r="M6" s="475"/>
      <c r="N6" s="475"/>
      <c r="O6" s="475"/>
    </row>
    <row r="7" spans="1:15" s="157" customFormat="1" ht="27.75" customHeight="1">
      <c r="A7" s="528"/>
      <c r="B7" s="158"/>
      <c r="C7" s="531" t="s">
        <v>40</v>
      </c>
      <c r="D7" s="531"/>
      <c r="E7" s="531"/>
      <c r="F7" s="531"/>
      <c r="G7" s="531"/>
      <c r="H7" s="531"/>
      <c r="I7" s="531"/>
      <c r="J7" s="531"/>
      <c r="K7" s="531"/>
      <c r="L7" s="43"/>
      <c r="M7" s="534" t="s">
        <v>37</v>
      </c>
      <c r="N7" s="534"/>
      <c r="O7" s="534"/>
    </row>
    <row r="8" spans="1:15" s="157" customFormat="1" ht="21" customHeight="1">
      <c r="A8" s="158"/>
      <c r="B8" s="158"/>
      <c r="C8" s="535" t="s">
        <v>228</v>
      </c>
      <c r="D8" s="535"/>
      <c r="E8" s="535"/>
      <c r="F8" s="159"/>
      <c r="G8" s="536" t="s">
        <v>44</v>
      </c>
      <c r="H8" s="159"/>
      <c r="I8" s="536" t="s">
        <v>45</v>
      </c>
      <c r="J8" s="159"/>
      <c r="K8" s="536" t="s">
        <v>2</v>
      </c>
      <c r="L8" s="43"/>
      <c r="M8" s="531"/>
      <c r="N8" s="531"/>
      <c r="O8" s="531"/>
    </row>
    <row r="9" spans="1:15" s="157" customFormat="1" ht="21" customHeight="1">
      <c r="A9" s="160"/>
      <c r="B9" s="160"/>
      <c r="C9" s="161" t="s">
        <v>46</v>
      </c>
      <c r="D9" s="162"/>
      <c r="E9" s="163" t="s">
        <v>59</v>
      </c>
      <c r="F9" s="43"/>
      <c r="G9" s="537"/>
      <c r="H9" s="43"/>
      <c r="I9" s="537"/>
      <c r="J9" s="43"/>
      <c r="K9" s="537"/>
      <c r="L9" s="43"/>
      <c r="M9" s="386" t="s">
        <v>229</v>
      </c>
      <c r="N9" s="159"/>
      <c r="O9" s="386" t="s">
        <v>228</v>
      </c>
    </row>
    <row r="10" spans="1:15" s="157" customFormat="1" ht="18">
      <c r="A10" s="160"/>
      <c r="B10" s="160"/>
      <c r="C10" s="159" t="s">
        <v>1</v>
      </c>
      <c r="D10" s="43"/>
      <c r="E10" s="159" t="s">
        <v>1</v>
      </c>
      <c r="F10" s="164"/>
      <c r="G10" s="159" t="s">
        <v>1</v>
      </c>
      <c r="H10" s="164"/>
      <c r="I10" s="159" t="s">
        <v>1</v>
      </c>
      <c r="J10" s="164"/>
      <c r="K10" s="43" t="s">
        <v>1</v>
      </c>
      <c r="L10" s="43"/>
      <c r="M10" s="43" t="s">
        <v>1</v>
      </c>
      <c r="N10" s="43"/>
      <c r="O10" s="43" t="s">
        <v>1</v>
      </c>
    </row>
    <row r="11" spans="1:15" s="157" customFormat="1" ht="21.75">
      <c r="A11" s="160" t="s">
        <v>242</v>
      </c>
      <c r="B11" s="160"/>
      <c r="C11" s="431"/>
      <c r="D11" s="431"/>
      <c r="E11" s="431"/>
      <c r="F11" s="164"/>
      <c r="G11" s="431"/>
      <c r="H11" s="164"/>
      <c r="I11" s="431"/>
      <c r="J11" s="164"/>
      <c r="K11" s="431"/>
      <c r="L11" s="431"/>
      <c r="M11" s="481">
        <v>-20000</v>
      </c>
      <c r="N11" s="150"/>
      <c r="O11" s="150"/>
    </row>
    <row r="12" spans="1:15" s="132" customFormat="1" ht="21.75">
      <c r="A12" s="432" t="s">
        <v>188</v>
      </c>
      <c r="B12" s="138"/>
      <c r="C12" s="124">
        <v>194</v>
      </c>
      <c r="D12" s="124"/>
      <c r="E12" s="124">
        <v>194</v>
      </c>
      <c r="F12" s="122"/>
      <c r="G12" s="122">
        <f>(K12-C12)/2</f>
        <v>97</v>
      </c>
      <c r="H12" s="123"/>
      <c r="I12" s="122">
        <f>(K12-C12)/2</f>
        <v>97</v>
      </c>
      <c r="J12" s="123"/>
      <c r="K12" s="123">
        <v>388</v>
      </c>
      <c r="L12" s="123"/>
      <c r="M12" s="123">
        <v>146</v>
      </c>
      <c r="N12" s="123"/>
      <c r="O12" s="123">
        <v>129</v>
      </c>
    </row>
    <row r="13" spans="1:15" s="132" customFormat="1" ht="21.75">
      <c r="A13" s="138" t="s">
        <v>153</v>
      </c>
      <c r="B13" s="138"/>
      <c r="C13" s="124"/>
      <c r="D13" s="124"/>
      <c r="E13" s="124"/>
      <c r="F13" s="122"/>
      <c r="G13" s="122"/>
      <c r="H13" s="123"/>
      <c r="I13" s="122"/>
      <c r="J13" s="123"/>
      <c r="K13" s="123"/>
      <c r="L13" s="123"/>
      <c r="M13" s="123">
        <v>180</v>
      </c>
      <c r="N13" s="123"/>
      <c r="O13" s="123"/>
    </row>
    <row r="14" spans="1:16" ht="22.5" thickBot="1">
      <c r="A14" s="139"/>
      <c r="B14" s="139"/>
      <c r="C14" s="483">
        <f>C12</f>
        <v>194</v>
      </c>
      <c r="D14" s="477"/>
      <c r="E14" s="483">
        <f>E12</f>
        <v>194</v>
      </c>
      <c r="F14" s="123"/>
      <c r="G14" s="483">
        <f>G12</f>
        <v>97</v>
      </c>
      <c r="H14" s="123"/>
      <c r="I14" s="483">
        <f>I12</f>
        <v>97</v>
      </c>
      <c r="J14" s="483">
        <f>J12</f>
        <v>0</v>
      </c>
      <c r="K14" s="483">
        <f>K12</f>
        <v>388</v>
      </c>
      <c r="L14" s="123"/>
      <c r="M14" s="483">
        <f>SUM(M11:M13)</f>
        <v>-19674</v>
      </c>
      <c r="N14" s="123"/>
      <c r="O14" s="483">
        <v>129</v>
      </c>
      <c r="P14" s="132"/>
    </row>
    <row r="15" ht="16.5" thickTop="1"/>
    <row r="59" spans="1:16" ht="24.75">
      <c r="A59" s="533"/>
      <c r="B59" s="533"/>
      <c r="C59" s="533"/>
      <c r="D59" s="533"/>
      <c r="E59" s="533"/>
      <c r="F59" s="533"/>
      <c r="G59" s="533"/>
      <c r="H59" s="533"/>
      <c r="I59" s="533"/>
      <c r="J59" s="533"/>
      <c r="K59" s="533"/>
      <c r="L59" s="533"/>
      <c r="M59" s="533"/>
      <c r="N59" s="533"/>
      <c r="O59" s="533"/>
      <c r="P59" s="533"/>
    </row>
    <row r="63" spans="1:16" ht="15.75">
      <c r="A63" s="526"/>
      <c r="B63" s="526"/>
      <c r="C63" s="526"/>
      <c r="D63" s="526"/>
      <c r="E63" s="526"/>
      <c r="F63" s="526"/>
      <c r="G63" s="526"/>
      <c r="H63" s="526"/>
      <c r="I63" s="526"/>
      <c r="J63" s="526"/>
      <c r="K63" s="526"/>
      <c r="L63" s="526"/>
      <c r="M63" s="526"/>
      <c r="N63" s="526"/>
      <c r="O63" s="526"/>
      <c r="P63" s="526"/>
    </row>
  </sheetData>
  <sheetProtection/>
  <mergeCells count="14">
    <mergeCell ref="A1:P1"/>
    <mergeCell ref="A2:P2"/>
    <mergeCell ref="A3:P3"/>
    <mergeCell ref="M7:O8"/>
    <mergeCell ref="C8:E8"/>
    <mergeCell ref="G8:G9"/>
    <mergeCell ref="I8:I9"/>
    <mergeCell ref="K8:K9"/>
    <mergeCell ref="A63:P63"/>
    <mergeCell ref="A6:A7"/>
    <mergeCell ref="C6:F6"/>
    <mergeCell ref="C7:K7"/>
    <mergeCell ref="A5:G5"/>
    <mergeCell ref="A59:P59"/>
  </mergeCells>
  <printOptions horizontalCentered="1"/>
  <pageMargins left="0.15748031496062992" right="0.15748031496062992" top="0.4724409448818898" bottom="0.1968503937007874" header="0.3937007874015748" footer="0"/>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theme="0"/>
  </sheetPr>
  <dimension ref="A1:P51"/>
  <sheetViews>
    <sheetView rightToLeft="1" view="pageBreakPreview" zoomScale="90" zoomScaleSheetLayoutView="90" zoomScalePageLayoutView="0" workbookViewId="0" topLeftCell="A1">
      <selection activeCell="A4" sqref="A4:G4"/>
    </sheetView>
  </sheetViews>
  <sheetFormatPr defaultColWidth="9.140625" defaultRowHeight="12.75"/>
  <cols>
    <col min="1" max="1" width="24.00390625" style="121" customWidth="1"/>
    <col min="2" max="2" width="5.00390625" style="121" customWidth="1"/>
    <col min="3" max="3" width="7.57421875" style="121" bestFit="1" customWidth="1"/>
    <col min="4" max="4" width="1.7109375" style="121" customWidth="1"/>
    <col min="5" max="5" width="11.00390625" style="121" customWidth="1"/>
    <col min="6" max="6" width="0.85546875" style="121" customWidth="1"/>
    <col min="7" max="7" width="11.00390625" style="121" customWidth="1"/>
    <col min="8" max="8" width="0.5625" style="121" customWidth="1"/>
    <col min="9" max="9" width="9.140625" style="121" customWidth="1"/>
    <col min="10" max="10" width="0.71875" style="121" customWidth="1"/>
    <col min="11" max="11" width="9.140625" style="121" customWidth="1"/>
    <col min="12" max="12" width="3.7109375" style="121" customWidth="1"/>
    <col min="13" max="13" width="10.7109375" style="121" bestFit="1" customWidth="1"/>
    <col min="14" max="14" width="1.57421875" style="121" customWidth="1"/>
    <col min="15" max="15" width="7.57421875" style="121" bestFit="1" customWidth="1"/>
    <col min="16" max="16384" width="9.140625" style="121" customWidth="1"/>
  </cols>
  <sheetData>
    <row r="1" spans="1:16" ht="31.5">
      <c r="A1" s="500" t="s">
        <v>148</v>
      </c>
      <c r="B1" s="500"/>
      <c r="C1" s="500"/>
      <c r="D1" s="500"/>
      <c r="E1" s="500"/>
      <c r="F1" s="500"/>
      <c r="G1" s="500"/>
      <c r="H1" s="500"/>
      <c r="I1" s="500"/>
      <c r="J1" s="500"/>
      <c r="K1" s="500"/>
      <c r="L1" s="500"/>
      <c r="M1" s="500"/>
      <c r="N1" s="500"/>
      <c r="O1" s="500"/>
      <c r="P1" s="500"/>
    </row>
    <row r="2" spans="1:16" ht="27.75">
      <c r="A2" s="501"/>
      <c r="B2" s="501"/>
      <c r="C2" s="501"/>
      <c r="D2" s="501"/>
      <c r="E2" s="501"/>
      <c r="F2" s="501"/>
      <c r="G2" s="501"/>
      <c r="H2" s="501"/>
      <c r="I2" s="501"/>
      <c r="J2" s="501"/>
      <c r="K2" s="501"/>
      <c r="L2" s="501"/>
      <c r="M2" s="501"/>
      <c r="N2" s="501"/>
      <c r="O2" s="501"/>
      <c r="P2" s="501"/>
    </row>
    <row r="3" spans="1:16" ht="30" customHeight="1">
      <c r="A3" s="502" t="s">
        <v>197</v>
      </c>
      <c r="B3" s="502"/>
      <c r="C3" s="502"/>
      <c r="D3" s="502"/>
      <c r="E3" s="502"/>
      <c r="F3" s="502"/>
      <c r="G3" s="502"/>
      <c r="H3" s="502"/>
      <c r="I3" s="502"/>
      <c r="J3" s="502"/>
      <c r="K3" s="502"/>
      <c r="L3" s="502"/>
      <c r="M3" s="502"/>
      <c r="N3" s="502"/>
      <c r="O3" s="502"/>
      <c r="P3" s="502"/>
    </row>
    <row r="4" spans="1:7" s="135" customFormat="1" ht="62.25" customHeight="1">
      <c r="A4" s="545" t="s">
        <v>252</v>
      </c>
      <c r="B4" s="545"/>
      <c r="C4" s="545"/>
      <c r="D4" s="545"/>
      <c r="E4" s="545"/>
      <c r="F4" s="545"/>
      <c r="G4" s="545"/>
    </row>
    <row r="5" spans="1:15" s="132" customFormat="1" ht="24.75" customHeight="1">
      <c r="A5" s="538"/>
      <c r="B5" s="136"/>
      <c r="C5" s="540"/>
      <c r="D5" s="540"/>
      <c r="E5" s="541"/>
      <c r="F5" s="541"/>
      <c r="G5" s="8"/>
      <c r="H5" s="3"/>
      <c r="I5" s="3"/>
      <c r="J5" s="476"/>
      <c r="K5" s="476"/>
      <c r="L5" s="476"/>
      <c r="M5" s="476"/>
      <c r="N5" s="476"/>
      <c r="O5" s="476"/>
    </row>
    <row r="6" spans="1:15" s="151" customFormat="1" ht="19.5" customHeight="1">
      <c r="A6" s="539"/>
      <c r="B6" s="152"/>
      <c r="C6" s="542" t="s">
        <v>40</v>
      </c>
      <c r="D6" s="542"/>
      <c r="E6" s="542"/>
      <c r="F6" s="542"/>
      <c r="G6" s="542"/>
      <c r="H6" s="542"/>
      <c r="I6" s="542"/>
      <c r="J6" s="542"/>
      <c r="K6" s="542"/>
      <c r="L6" s="150"/>
      <c r="M6" s="543" t="s">
        <v>37</v>
      </c>
      <c r="N6" s="543"/>
      <c r="O6" s="543"/>
    </row>
    <row r="7" spans="1:15" s="151" customFormat="1" ht="19.5" customHeight="1">
      <c r="A7" s="152"/>
      <c r="B7" s="152"/>
      <c r="C7" s="544" t="s">
        <v>228</v>
      </c>
      <c r="D7" s="544"/>
      <c r="E7" s="544"/>
      <c r="F7" s="478"/>
      <c r="G7" s="536" t="s">
        <v>44</v>
      </c>
      <c r="H7" s="474"/>
      <c r="I7" s="536" t="s">
        <v>45</v>
      </c>
      <c r="J7" s="478"/>
      <c r="K7" s="546" t="s">
        <v>2</v>
      </c>
      <c r="L7" s="150"/>
      <c r="M7" s="542"/>
      <c r="N7" s="542"/>
      <c r="O7" s="542"/>
    </row>
    <row r="8" spans="1:15" s="151" customFormat="1" ht="25.5" customHeight="1">
      <c r="A8" s="154"/>
      <c r="B8" s="154"/>
      <c r="C8" s="471" t="s">
        <v>46</v>
      </c>
      <c r="D8" s="479"/>
      <c r="E8" s="472" t="s">
        <v>59</v>
      </c>
      <c r="F8" s="473"/>
      <c r="G8" s="537"/>
      <c r="H8" s="475"/>
      <c r="I8" s="537"/>
      <c r="J8" s="473"/>
      <c r="K8" s="547"/>
      <c r="L8" s="150"/>
      <c r="M8" s="386" t="s">
        <v>227</v>
      </c>
      <c r="N8" s="153"/>
      <c r="O8" s="472" t="s">
        <v>228</v>
      </c>
    </row>
    <row r="9" spans="1:15" s="151" customFormat="1" ht="21.75" customHeight="1">
      <c r="A9" s="154"/>
      <c r="B9" s="154"/>
      <c r="C9" s="153" t="s">
        <v>1</v>
      </c>
      <c r="D9" s="150"/>
      <c r="E9" s="153" t="s">
        <v>1</v>
      </c>
      <c r="F9" s="165"/>
      <c r="G9" s="153" t="s">
        <v>1</v>
      </c>
      <c r="H9" s="165"/>
      <c r="I9" s="153" t="s">
        <v>1</v>
      </c>
      <c r="J9" s="165"/>
      <c r="K9" s="150" t="s">
        <v>1</v>
      </c>
      <c r="L9" s="150"/>
      <c r="M9" s="150" t="s">
        <v>1</v>
      </c>
      <c r="N9" s="150"/>
      <c r="O9" s="150" t="s">
        <v>1</v>
      </c>
    </row>
    <row r="10" spans="1:15" s="132" customFormat="1" ht="24" customHeight="1">
      <c r="A10" s="160" t="s">
        <v>189</v>
      </c>
      <c r="B10" s="137"/>
      <c r="C10" s="473">
        <v>860</v>
      </c>
      <c r="D10" s="473"/>
      <c r="E10" s="473">
        <v>860</v>
      </c>
      <c r="F10" s="480"/>
      <c r="G10" s="473">
        <f>(K10-C10)/2</f>
        <v>430</v>
      </c>
      <c r="H10" s="480"/>
      <c r="I10" s="473">
        <f>(K10-C10)/2</f>
        <v>430</v>
      </c>
      <c r="J10" s="480"/>
      <c r="K10" s="473">
        <f>(C10)+C10</f>
        <v>1720</v>
      </c>
      <c r="L10" s="473"/>
      <c r="M10" s="473">
        <v>5315</v>
      </c>
      <c r="N10" s="473"/>
      <c r="O10" s="473">
        <v>2118</v>
      </c>
    </row>
    <row r="11" spans="1:15" s="132" customFormat="1" ht="24" customHeight="1">
      <c r="A11" s="160" t="s">
        <v>190</v>
      </c>
      <c r="B11" s="137"/>
      <c r="C11" s="473">
        <v>51</v>
      </c>
      <c r="D11" s="473"/>
      <c r="E11" s="473">
        <v>51</v>
      </c>
      <c r="F11" s="480"/>
      <c r="G11" s="473">
        <v>26</v>
      </c>
      <c r="H11" s="480"/>
      <c r="I11" s="473">
        <v>26</v>
      </c>
      <c r="J11" s="480"/>
      <c r="K11" s="473">
        <v>103</v>
      </c>
      <c r="L11" s="473"/>
      <c r="M11" s="473">
        <v>143</v>
      </c>
      <c r="N11" s="473"/>
      <c r="O11" s="473"/>
    </row>
    <row r="12" spans="1:15" s="132" customFormat="1" ht="24" customHeight="1">
      <c r="A12" s="160" t="s">
        <v>22</v>
      </c>
      <c r="B12" s="137"/>
      <c r="C12" s="473"/>
      <c r="D12" s="473"/>
      <c r="E12" s="473"/>
      <c r="F12" s="480"/>
      <c r="G12" s="481"/>
      <c r="H12" s="482"/>
      <c r="I12" s="481"/>
      <c r="J12" s="480"/>
      <c r="K12" s="481"/>
      <c r="L12" s="473"/>
      <c r="M12" s="481">
        <v>-2</v>
      </c>
      <c r="N12" s="473"/>
      <c r="O12" s="481">
        <v>-2</v>
      </c>
    </row>
    <row r="13" spans="1:15" ht="22.5" thickBot="1">
      <c r="A13" s="139"/>
      <c r="B13" s="139"/>
      <c r="C13" s="484">
        <f>SUM(C10:C12)</f>
        <v>911</v>
      </c>
      <c r="D13" s="485"/>
      <c r="E13" s="484">
        <f>SUM(E10:E12)</f>
        <v>911</v>
      </c>
      <c r="F13" s="486"/>
      <c r="G13" s="484">
        <f>SUM(G10:G12)</f>
        <v>456</v>
      </c>
      <c r="H13" s="486"/>
      <c r="I13" s="484">
        <f>SUM(I10:I12)</f>
        <v>456</v>
      </c>
      <c r="J13" s="486"/>
      <c r="K13" s="484">
        <f>SUM(K10:K12)</f>
        <v>1823</v>
      </c>
      <c r="L13" s="486"/>
      <c r="M13" s="484">
        <f>SUM(M10:M12)</f>
        <v>5456</v>
      </c>
      <c r="N13" s="486"/>
      <c r="O13" s="484">
        <f>SUM(O10:O12)</f>
        <v>2116</v>
      </c>
    </row>
    <row r="14" ht="16.5" thickTop="1"/>
    <row r="51" spans="1:16" ht="22.5">
      <c r="A51" s="517"/>
      <c r="B51" s="517"/>
      <c r="C51" s="517"/>
      <c r="D51" s="517"/>
      <c r="E51" s="517"/>
      <c r="F51" s="517"/>
      <c r="G51" s="517"/>
      <c r="H51" s="517"/>
      <c r="I51" s="517"/>
      <c r="J51" s="517"/>
      <c r="K51" s="517"/>
      <c r="L51" s="517"/>
      <c r="M51" s="517"/>
      <c r="N51" s="517"/>
      <c r="O51" s="517"/>
      <c r="P51" s="517"/>
    </row>
  </sheetData>
  <sheetProtection/>
  <mergeCells count="13">
    <mergeCell ref="A51:P51"/>
    <mergeCell ref="G7:G8"/>
    <mergeCell ref="I7:I8"/>
    <mergeCell ref="K7:K8"/>
    <mergeCell ref="A1:P1"/>
    <mergeCell ref="A2:P2"/>
    <mergeCell ref="A3:P3"/>
    <mergeCell ref="A5:A6"/>
    <mergeCell ref="C5:F5"/>
    <mergeCell ref="C6:K6"/>
    <mergeCell ref="M6:O7"/>
    <mergeCell ref="C7:E7"/>
    <mergeCell ref="A4:G4"/>
  </mergeCells>
  <printOptions horizontalCentered="1"/>
  <pageMargins left="0.15748031496062992" right="0.15748031496062992" top="0.4724409448818898" bottom="0.1968503937007874" header="0.3937007874015748" footer="0"/>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theme="0"/>
  </sheetPr>
  <dimension ref="A1:S38"/>
  <sheetViews>
    <sheetView rightToLeft="1" view="pageBreakPreview" zoomScale="85" zoomScaleSheetLayoutView="85" zoomScalePageLayoutView="0" workbookViewId="0" topLeftCell="A16">
      <selection activeCell="E8" sqref="E8"/>
    </sheetView>
  </sheetViews>
  <sheetFormatPr defaultColWidth="9.140625" defaultRowHeight="12.75"/>
  <cols>
    <col min="1" max="1" width="2.28125" style="7" customWidth="1"/>
    <col min="2" max="2" width="9.140625" style="7" customWidth="1"/>
    <col min="3" max="3" width="35.28125" style="7" customWidth="1"/>
    <col min="4" max="4" width="15.140625" style="7" customWidth="1"/>
    <col min="5" max="8" width="13.140625" style="7" customWidth="1"/>
    <col min="9" max="16384" width="9.140625" style="7" customWidth="1"/>
  </cols>
  <sheetData>
    <row r="1" spans="1:19" ht="36.75" customHeight="1">
      <c r="A1" s="500" t="s">
        <v>149</v>
      </c>
      <c r="B1" s="500"/>
      <c r="C1" s="500"/>
      <c r="D1" s="500"/>
      <c r="E1" s="500"/>
      <c r="F1" s="500"/>
      <c r="G1" s="500"/>
      <c r="H1" s="500"/>
      <c r="I1" s="500"/>
      <c r="J1" s="167"/>
      <c r="K1" s="167"/>
      <c r="L1" s="167"/>
      <c r="M1" s="167"/>
      <c r="N1" s="167"/>
      <c r="O1" s="167"/>
      <c r="P1" s="167"/>
      <c r="Q1" s="167"/>
      <c r="R1" s="167"/>
      <c r="S1" s="167"/>
    </row>
    <row r="2" spans="1:19" ht="35.25" customHeight="1">
      <c r="A2" s="501" t="s">
        <v>127</v>
      </c>
      <c r="B2" s="501"/>
      <c r="C2" s="501"/>
      <c r="D2" s="501"/>
      <c r="E2" s="501"/>
      <c r="F2" s="501"/>
      <c r="G2" s="501"/>
      <c r="H2" s="501"/>
      <c r="I2" s="501"/>
      <c r="J2" s="168"/>
      <c r="K2" s="168"/>
      <c r="L2" s="168"/>
      <c r="M2" s="168"/>
      <c r="N2" s="168"/>
      <c r="O2" s="168"/>
      <c r="P2" s="168"/>
      <c r="Q2" s="168"/>
      <c r="R2" s="168"/>
      <c r="S2" s="168"/>
    </row>
    <row r="3" spans="1:19" ht="37.5" customHeight="1">
      <c r="A3" s="502" t="s">
        <v>198</v>
      </c>
      <c r="B3" s="502"/>
      <c r="C3" s="502"/>
      <c r="D3" s="502"/>
      <c r="E3" s="502"/>
      <c r="F3" s="502"/>
      <c r="G3" s="502"/>
      <c r="H3" s="502"/>
      <c r="I3" s="502"/>
      <c r="J3" s="169"/>
      <c r="K3" s="169"/>
      <c r="L3" s="169"/>
      <c r="M3" s="169"/>
      <c r="N3" s="169"/>
      <c r="O3" s="169"/>
      <c r="P3" s="169"/>
      <c r="Q3" s="169"/>
      <c r="R3" s="169"/>
      <c r="S3" s="169"/>
    </row>
    <row r="4" spans="1:19" ht="46.5" customHeight="1" thickBot="1">
      <c r="A4" s="545" t="s">
        <v>144</v>
      </c>
      <c r="B4" s="545"/>
      <c r="C4" s="557"/>
      <c r="D4" s="557"/>
      <c r="E4" s="557"/>
      <c r="F4" s="298"/>
      <c r="G4" s="298"/>
      <c r="H4" s="298"/>
      <c r="I4" s="298"/>
      <c r="J4" s="169"/>
      <c r="K4" s="169"/>
      <c r="L4" s="169"/>
      <c r="M4" s="169"/>
      <c r="N4" s="169"/>
      <c r="O4" s="169"/>
      <c r="P4" s="169"/>
      <c r="Q4" s="169"/>
      <c r="R4" s="169"/>
      <c r="S4" s="169"/>
    </row>
    <row r="5" spans="2:8" ht="26.25" customHeight="1">
      <c r="B5" s="561" t="s">
        <v>84</v>
      </c>
      <c r="C5" s="562"/>
      <c r="D5" s="601" t="s">
        <v>230</v>
      </c>
      <c r="E5" s="603" t="s">
        <v>67</v>
      </c>
      <c r="F5" s="604"/>
      <c r="G5" s="604"/>
      <c r="H5" s="605"/>
    </row>
    <row r="6" spans="2:8" ht="26.25" customHeight="1">
      <c r="B6" s="563"/>
      <c r="C6" s="564"/>
      <c r="D6" s="602"/>
      <c r="E6" s="567" t="s">
        <v>231</v>
      </c>
      <c r="F6" s="592" t="s">
        <v>44</v>
      </c>
      <c r="G6" s="592" t="s">
        <v>45</v>
      </c>
      <c r="H6" s="559" t="s">
        <v>2</v>
      </c>
    </row>
    <row r="7" spans="2:8" ht="30" customHeight="1">
      <c r="B7" s="565"/>
      <c r="C7" s="566"/>
      <c r="D7" s="170"/>
      <c r="E7" s="568"/>
      <c r="F7" s="593"/>
      <c r="G7" s="593"/>
      <c r="H7" s="560"/>
    </row>
    <row r="8" spans="2:8" ht="27" customHeight="1">
      <c r="B8" s="606" t="s">
        <v>85</v>
      </c>
      <c r="C8" s="607"/>
      <c r="D8" s="171"/>
      <c r="E8" s="172"/>
      <c r="F8" s="172"/>
      <c r="G8" s="172"/>
      <c r="H8" s="173"/>
    </row>
    <row r="9" spans="2:8" ht="12.75">
      <c r="B9" s="578" t="s">
        <v>86</v>
      </c>
      <c r="C9" s="579"/>
      <c r="D9" s="579"/>
      <c r="E9" s="579"/>
      <c r="F9" s="579"/>
      <c r="G9" s="579"/>
      <c r="H9" s="581"/>
    </row>
    <row r="10" spans="2:8" ht="26.25" customHeight="1">
      <c r="B10" s="608" t="s">
        <v>87</v>
      </c>
      <c r="C10" s="609"/>
      <c r="D10" s="609"/>
      <c r="E10" s="609"/>
      <c r="F10" s="609"/>
      <c r="G10" s="609"/>
      <c r="H10" s="610"/>
    </row>
    <row r="11" spans="2:8" ht="23.25" customHeight="1">
      <c r="B11" s="576" t="s">
        <v>88</v>
      </c>
      <c r="C11" s="577"/>
      <c r="D11" s="174"/>
      <c r="E11" s="200"/>
      <c r="F11" s="175"/>
      <c r="G11" s="175"/>
      <c r="H11" s="176"/>
    </row>
    <row r="12" spans="2:8" ht="23.25" customHeight="1">
      <c r="B12" s="576" t="s">
        <v>89</v>
      </c>
      <c r="C12" s="577"/>
      <c r="D12" s="174"/>
      <c r="E12" s="200"/>
      <c r="F12" s="175"/>
      <c r="G12" s="175"/>
      <c r="H12" s="176"/>
    </row>
    <row r="13" spans="2:8" ht="23.25" customHeight="1">
      <c r="B13" s="599" t="s">
        <v>90</v>
      </c>
      <c r="C13" s="600"/>
      <c r="D13" s="177"/>
      <c r="E13" s="200"/>
      <c r="F13" s="175"/>
      <c r="G13" s="175"/>
      <c r="H13" s="176"/>
    </row>
    <row r="14" spans="2:8" ht="23.25" customHeight="1">
      <c r="B14" s="583" t="s">
        <v>91</v>
      </c>
      <c r="C14" s="584"/>
      <c r="D14" s="178"/>
      <c r="E14" s="201"/>
      <c r="F14" s="179"/>
      <c r="G14" s="179"/>
      <c r="H14" s="180"/>
    </row>
    <row r="15" spans="2:8" ht="30.75" customHeight="1">
      <c r="B15" s="585" t="s">
        <v>92</v>
      </c>
      <c r="C15" s="586"/>
      <c r="D15" s="586"/>
      <c r="E15" s="586"/>
      <c r="F15" s="586"/>
      <c r="G15" s="586"/>
      <c r="H15" s="587"/>
    </row>
    <row r="16" spans="2:8" ht="33.75" customHeight="1">
      <c r="B16" s="588" t="s">
        <v>93</v>
      </c>
      <c r="C16" s="589"/>
      <c r="D16" s="181"/>
      <c r="E16" s="202"/>
      <c r="F16" s="182"/>
      <c r="G16" s="182"/>
      <c r="H16" s="183"/>
    </row>
    <row r="17" spans="2:8" ht="33.75" customHeight="1">
      <c r="B17" s="590" t="s">
        <v>94</v>
      </c>
      <c r="C17" s="591"/>
      <c r="D17" s="184"/>
      <c r="E17" s="203"/>
      <c r="F17" s="185"/>
      <c r="G17" s="185"/>
      <c r="H17" s="186"/>
    </row>
    <row r="18" spans="2:8" ht="33.75" customHeight="1">
      <c r="B18" s="573" t="s">
        <v>95</v>
      </c>
      <c r="C18" s="574"/>
      <c r="D18" s="184"/>
      <c r="E18" s="203"/>
      <c r="F18" s="185"/>
      <c r="G18" s="185"/>
      <c r="H18" s="186"/>
    </row>
    <row r="19" spans="2:8" ht="33.75" customHeight="1">
      <c r="B19" s="555" t="s">
        <v>96</v>
      </c>
      <c r="C19" s="569"/>
      <c r="D19" s="569"/>
      <c r="E19" s="569"/>
      <c r="F19" s="569"/>
      <c r="G19" s="569"/>
      <c r="H19" s="570"/>
    </row>
    <row r="20" spans="2:8" ht="33.75" customHeight="1">
      <c r="B20" s="571" t="s">
        <v>97</v>
      </c>
      <c r="C20" s="572"/>
      <c r="D20" s="187"/>
      <c r="E20" s="205"/>
      <c r="F20" s="188"/>
      <c r="G20" s="188"/>
      <c r="H20" s="189"/>
    </row>
    <row r="21" spans="2:8" ht="15.75">
      <c r="B21" s="594" t="s">
        <v>98</v>
      </c>
      <c r="C21" s="595"/>
      <c r="D21" s="204">
        <f>D8-(D11+D12+D13+D14+D16+D17+D18+D20)</f>
        <v>0</v>
      </c>
      <c r="E21" s="206">
        <f>E8-(E11+E12+E13+E14+E16+E17+E18+E20)</f>
        <v>0</v>
      </c>
      <c r="F21" s="190">
        <f>F8-(F11+F12+F13+F14+F16+F17+F18+F20)</f>
        <v>0</v>
      </c>
      <c r="G21" s="190">
        <f>G8-(G11+G12+G13+G14+G16+G17+G18+G20)</f>
        <v>0</v>
      </c>
      <c r="H21" s="191">
        <f>H8-(H11+H12+H13+H14+H16+H17+H18+H20)</f>
        <v>0</v>
      </c>
    </row>
    <row r="22" spans="2:8" ht="24.75" customHeight="1">
      <c r="B22" s="596" t="s">
        <v>99</v>
      </c>
      <c r="C22" s="597"/>
      <c r="D22" s="597"/>
      <c r="E22" s="597"/>
      <c r="F22" s="597"/>
      <c r="G22" s="597"/>
      <c r="H22" s="598"/>
    </row>
    <row r="23" spans="2:8" ht="36.75" customHeight="1">
      <c r="B23" s="555" t="s">
        <v>100</v>
      </c>
      <c r="C23" s="582"/>
      <c r="D23" s="36"/>
      <c r="E23" s="37"/>
      <c r="F23" s="192"/>
      <c r="G23" s="192"/>
      <c r="H23" s="166"/>
    </row>
    <row r="24" spans="2:8" ht="36.75" customHeight="1">
      <c r="B24" s="573" t="s">
        <v>101</v>
      </c>
      <c r="C24" s="574"/>
      <c r="D24" s="36"/>
      <c r="E24" s="37"/>
      <c r="F24" s="192"/>
      <c r="G24" s="192"/>
      <c r="H24" s="166"/>
    </row>
    <row r="25" spans="2:8" ht="23.25" customHeight="1">
      <c r="B25" s="578" t="s">
        <v>86</v>
      </c>
      <c r="C25" s="579"/>
      <c r="D25" s="579"/>
      <c r="E25" s="580"/>
      <c r="F25" s="579"/>
      <c r="G25" s="579"/>
      <c r="H25" s="581"/>
    </row>
    <row r="26" spans="2:8" ht="60" customHeight="1">
      <c r="B26" s="573" t="s">
        <v>102</v>
      </c>
      <c r="C26" s="574"/>
      <c r="D26" s="184"/>
      <c r="E26" s="203"/>
      <c r="F26" s="185"/>
      <c r="G26" s="185"/>
      <c r="H26" s="186"/>
    </row>
    <row r="27" spans="2:8" ht="47.25" customHeight="1">
      <c r="B27" s="573" t="s">
        <v>103</v>
      </c>
      <c r="C27" s="574"/>
      <c r="D27" s="184"/>
      <c r="E27" s="203"/>
      <c r="F27" s="185"/>
      <c r="G27" s="185"/>
      <c r="H27" s="186"/>
    </row>
    <row r="28" spans="2:8" ht="47.25" customHeight="1">
      <c r="B28" s="573" t="s">
        <v>104</v>
      </c>
      <c r="C28" s="574"/>
      <c r="D28" s="184"/>
      <c r="E28" s="203"/>
      <c r="F28" s="185"/>
      <c r="G28" s="185"/>
      <c r="H28" s="186"/>
    </row>
    <row r="29" spans="2:8" ht="36" customHeight="1">
      <c r="B29" s="571" t="s">
        <v>105</v>
      </c>
      <c r="C29" s="575"/>
      <c r="D29" s="193"/>
      <c r="E29" s="207"/>
      <c r="F29" s="194"/>
      <c r="G29" s="194"/>
      <c r="H29" s="195"/>
    </row>
    <row r="30" spans="2:8" ht="34.5" customHeight="1">
      <c r="B30" s="553" t="s">
        <v>106</v>
      </c>
      <c r="C30" s="554"/>
      <c r="D30" s="36">
        <f>D23+D24-(D26+D27+D28+D29)</f>
        <v>0</v>
      </c>
      <c r="E30" s="37">
        <f>E23+E24-(E26+E27+E28+E29)</f>
        <v>0</v>
      </c>
      <c r="F30" s="38">
        <f>F23+F24-(F26+F27+F28+F29)</f>
        <v>0</v>
      </c>
      <c r="G30" s="38">
        <f>G23+G24-(G26+G27+G28+G29)</f>
        <v>0</v>
      </c>
      <c r="H30" s="166">
        <f>H23+H24-(H26+H27+H28+H29)</f>
        <v>0</v>
      </c>
    </row>
    <row r="31" spans="2:8" ht="34.5" customHeight="1">
      <c r="B31" s="555" t="s">
        <v>107</v>
      </c>
      <c r="C31" s="556"/>
      <c r="D31" s="36"/>
      <c r="E31" s="37"/>
      <c r="F31" s="38"/>
      <c r="G31" s="38"/>
      <c r="H31" s="166"/>
    </row>
    <row r="32" spans="2:8" ht="21.75" customHeight="1">
      <c r="B32" s="548" t="s">
        <v>108</v>
      </c>
      <c r="C32" s="39" t="s">
        <v>109</v>
      </c>
      <c r="D32" s="36"/>
      <c r="E32" s="37"/>
      <c r="F32" s="38"/>
      <c r="G32" s="38"/>
      <c r="H32" s="166"/>
    </row>
    <row r="33" spans="2:8" ht="21.75" customHeight="1">
      <c r="B33" s="549"/>
      <c r="C33" s="196" t="s">
        <v>110</v>
      </c>
      <c r="D33" s="36"/>
      <c r="E33" s="37"/>
      <c r="F33" s="38"/>
      <c r="G33" s="38"/>
      <c r="H33" s="166"/>
    </row>
    <row r="34" spans="2:8" ht="21.75" customHeight="1">
      <c r="B34" s="550"/>
      <c r="C34" s="196" t="s">
        <v>111</v>
      </c>
      <c r="D34" s="197"/>
      <c r="E34" s="208"/>
      <c r="F34" s="198"/>
      <c r="G34" s="198"/>
      <c r="H34" s="199"/>
    </row>
    <row r="35" spans="2:8" ht="25.5" customHeight="1" thickBot="1">
      <c r="B35" s="551" t="s">
        <v>112</v>
      </c>
      <c r="C35" s="552"/>
      <c r="D35" s="209">
        <f>D31+D32+D33</f>
        <v>0</v>
      </c>
      <c r="E35" s="210">
        <f>E30+E31+E32+E33</f>
        <v>0</v>
      </c>
      <c r="F35" s="211">
        <f>F30+F31+F32+F33</f>
        <v>0</v>
      </c>
      <c r="G35" s="211">
        <f>G30+G31+G32+G33</f>
        <v>0</v>
      </c>
      <c r="H35" s="212">
        <f>H30+H31+H32+H33</f>
        <v>0</v>
      </c>
    </row>
    <row r="38" spans="1:9" ht="24" customHeight="1">
      <c r="A38" s="558">
        <v>12</v>
      </c>
      <c r="B38" s="558"/>
      <c r="C38" s="558"/>
      <c r="D38" s="558"/>
      <c r="E38" s="558"/>
      <c r="F38" s="558"/>
      <c r="G38" s="558"/>
      <c r="H38" s="558"/>
      <c r="I38" s="558"/>
    </row>
  </sheetData>
  <sheetProtection/>
  <mergeCells count="38">
    <mergeCell ref="B24:C24"/>
    <mergeCell ref="F6:F7"/>
    <mergeCell ref="G6:G7"/>
    <mergeCell ref="B21:C21"/>
    <mergeCell ref="B22:H22"/>
    <mergeCell ref="B13:C13"/>
    <mergeCell ref="D5:D6"/>
    <mergeCell ref="E5:H5"/>
    <mergeCell ref="B8:C8"/>
    <mergeCell ref="B9:H9"/>
    <mergeCell ref="B28:C28"/>
    <mergeCell ref="B29:C29"/>
    <mergeCell ref="B11:C11"/>
    <mergeCell ref="B12:C12"/>
    <mergeCell ref="B25:H25"/>
    <mergeCell ref="B23:C23"/>
    <mergeCell ref="B14:C14"/>
    <mergeCell ref="B15:H15"/>
    <mergeCell ref="B16:C16"/>
    <mergeCell ref="B17:C17"/>
    <mergeCell ref="A1:I1"/>
    <mergeCell ref="A2:I2"/>
    <mergeCell ref="A3:I3"/>
    <mergeCell ref="B5:C7"/>
    <mergeCell ref="E6:E7"/>
    <mergeCell ref="B19:H19"/>
    <mergeCell ref="B18:C18"/>
    <mergeCell ref="B10:H10"/>
    <mergeCell ref="B32:B34"/>
    <mergeCell ref="B35:C35"/>
    <mergeCell ref="B30:C30"/>
    <mergeCell ref="B31:C31"/>
    <mergeCell ref="A4:E4"/>
    <mergeCell ref="A38:I38"/>
    <mergeCell ref="H6:H7"/>
    <mergeCell ref="B20:C20"/>
    <mergeCell ref="B26:C26"/>
    <mergeCell ref="B27:C27"/>
  </mergeCells>
  <printOptions/>
  <pageMargins left="0.7086614173228347" right="0.7086614173228347" top="0.7480314960629921" bottom="0.7480314960629921" header="0.31496062992125984" footer="0.31496062992125984"/>
  <pageSetup horizontalDpi="600" verticalDpi="600" orientation="portrait" paperSize="9" scale="66" r:id="rId3"/>
  <legacyDrawing r:id="rId2"/>
</worksheet>
</file>

<file path=xl/worksheets/sheet8.xml><?xml version="1.0" encoding="utf-8"?>
<worksheet xmlns="http://schemas.openxmlformats.org/spreadsheetml/2006/main" xmlns:r="http://schemas.openxmlformats.org/officeDocument/2006/relationships">
  <sheetPr>
    <tabColor theme="0"/>
  </sheetPr>
  <dimension ref="A1:AM64"/>
  <sheetViews>
    <sheetView rightToLeft="1" tabSelected="1" view="pageBreakPreview" zoomScale="70" zoomScaleSheetLayoutView="70" zoomScalePageLayoutView="0" workbookViewId="0" topLeftCell="A37">
      <selection activeCell="AB49" sqref="AB49"/>
    </sheetView>
  </sheetViews>
  <sheetFormatPr defaultColWidth="9.140625" defaultRowHeight="12.75"/>
  <cols>
    <col min="1" max="1" width="1.1484375" style="213" customWidth="1"/>
    <col min="2" max="2" width="13.7109375" style="2" customWidth="1"/>
    <col min="3" max="3" width="13.00390625" style="2" hidden="1" customWidth="1"/>
    <col min="4" max="4" width="10.28125" style="2" hidden="1" customWidth="1"/>
    <col min="5" max="5" width="8.8515625" style="441" hidden="1" customWidth="1"/>
    <col min="6" max="7" width="10.28125" style="2" hidden="1" customWidth="1"/>
    <col min="8" max="8" width="10.28125" style="426" hidden="1" customWidth="1"/>
    <col min="9" max="10" width="8.140625" style="426" hidden="1" customWidth="1"/>
    <col min="11" max="11" width="6.7109375" style="426" hidden="1" customWidth="1"/>
    <col min="12" max="12" width="6.8515625" style="426" hidden="1" customWidth="1"/>
    <col min="13" max="13" width="9.421875" style="2" hidden="1" customWidth="1"/>
    <col min="14" max="14" width="8.140625" style="2" hidden="1" customWidth="1"/>
    <col min="15" max="17" width="9.421875" style="2" hidden="1" customWidth="1"/>
    <col min="18" max="18" width="12.57421875" style="2" hidden="1" customWidth="1"/>
    <col min="19" max="19" width="14.7109375" style="2" hidden="1" customWidth="1"/>
    <col min="20" max="20" width="13.28125" style="2" hidden="1" customWidth="1"/>
    <col min="21" max="23" width="12.7109375" style="2" customWidth="1"/>
    <col min="24" max="24" width="13.28125" style="2" customWidth="1"/>
    <col min="25" max="25" width="14.8515625" style="2" customWidth="1"/>
    <col min="26" max="29" width="10.8515625" style="2" customWidth="1"/>
    <col min="30" max="30" width="5.7109375" style="2" customWidth="1"/>
    <col min="31" max="31" width="10.421875" style="2" customWidth="1"/>
    <col min="32" max="32" width="8.28125" style="2" customWidth="1"/>
    <col min="33" max="33" width="12.421875" style="2" customWidth="1"/>
    <col min="34" max="34" width="7.00390625" style="2" customWidth="1"/>
    <col min="35" max="35" width="9.57421875" style="2" bestFit="1" customWidth="1"/>
    <col min="36" max="36" width="7.28125" style="2" customWidth="1"/>
    <col min="37" max="37" width="11.00390625" style="2" customWidth="1"/>
    <col min="38" max="16384" width="9.140625" style="2" customWidth="1"/>
  </cols>
  <sheetData>
    <row r="1" spans="1:32" s="215" customFormat="1" ht="26.25">
      <c r="A1" s="500" t="s">
        <v>148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214"/>
      <c r="AE1" s="214"/>
      <c r="AF1" s="214"/>
    </row>
    <row r="2" spans="1:32" s="215" customFormat="1" ht="36.75" customHeight="1">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214"/>
      <c r="AE2" s="214"/>
      <c r="AF2" s="214"/>
    </row>
    <row r="3" spans="1:32" s="215" customFormat="1" ht="36" customHeight="1">
      <c r="A3" s="502" t="s">
        <v>198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216"/>
      <c r="AE3" s="216"/>
      <c r="AF3" s="216"/>
    </row>
    <row r="4" spans="2:23" s="5" customFormat="1" ht="32.25" thickBot="1">
      <c r="B4" s="641" t="s">
        <v>253</v>
      </c>
      <c r="C4" s="641"/>
      <c r="D4" s="641"/>
      <c r="E4" s="641"/>
      <c r="F4" s="641"/>
      <c r="G4" s="641"/>
      <c r="H4" s="641"/>
      <c r="I4" s="641"/>
      <c r="J4" s="641"/>
      <c r="K4" s="641"/>
      <c r="L4" s="641"/>
      <c r="M4" s="641"/>
      <c r="N4" s="641"/>
      <c r="O4" s="641"/>
      <c r="P4" s="641"/>
      <c r="Q4" s="641"/>
      <c r="R4" s="641"/>
      <c r="S4" s="641"/>
      <c r="T4" s="641"/>
      <c r="U4" s="92"/>
      <c r="V4" s="92"/>
      <c r="W4" s="92"/>
    </row>
    <row r="5" spans="1:37" s="1" customFormat="1" ht="18" customHeight="1" thickTop="1">
      <c r="A5" s="217"/>
      <c r="B5" s="642" t="s">
        <v>4</v>
      </c>
      <c r="C5" s="643"/>
      <c r="D5" s="643"/>
      <c r="E5" s="643"/>
      <c r="F5" s="643"/>
      <c r="G5" s="643"/>
      <c r="H5" s="643"/>
      <c r="I5" s="643"/>
      <c r="J5" s="643"/>
      <c r="K5" s="643"/>
      <c r="L5" s="643"/>
      <c r="M5" s="643"/>
      <c r="N5" s="643"/>
      <c r="O5" s="643"/>
      <c r="P5" s="643"/>
      <c r="Q5" s="643"/>
      <c r="R5" s="643"/>
      <c r="S5" s="643"/>
      <c r="T5" s="643"/>
      <c r="U5" s="629" t="s">
        <v>239</v>
      </c>
      <c r="V5" s="630"/>
      <c r="W5" s="631"/>
      <c r="X5" s="646" t="s">
        <v>36</v>
      </c>
      <c r="Y5" s="647"/>
      <c r="Z5" s="635" t="s">
        <v>11</v>
      </c>
      <c r="AA5" s="636"/>
      <c r="AB5" s="636"/>
      <c r="AC5" s="637"/>
      <c r="AD5" s="623" t="s">
        <v>10</v>
      </c>
      <c r="AE5" s="624"/>
      <c r="AF5" s="624"/>
      <c r="AG5" s="624"/>
      <c r="AH5" s="624"/>
      <c r="AI5" s="624"/>
      <c r="AJ5" s="624"/>
      <c r="AK5" s="625"/>
    </row>
    <row r="6" spans="1:37" s="1" customFormat="1" ht="26.25" customHeight="1" thickBot="1">
      <c r="A6" s="217"/>
      <c r="B6" s="644"/>
      <c r="C6" s="645"/>
      <c r="D6" s="645"/>
      <c r="E6" s="645"/>
      <c r="F6" s="645"/>
      <c r="G6" s="645"/>
      <c r="H6" s="645"/>
      <c r="I6" s="645"/>
      <c r="J6" s="645"/>
      <c r="K6" s="645"/>
      <c r="L6" s="645"/>
      <c r="M6" s="645"/>
      <c r="N6" s="645"/>
      <c r="O6" s="645"/>
      <c r="P6" s="645"/>
      <c r="Q6" s="645"/>
      <c r="R6" s="645"/>
      <c r="S6" s="645"/>
      <c r="T6" s="645"/>
      <c r="U6" s="632"/>
      <c r="V6" s="633"/>
      <c r="W6" s="634"/>
      <c r="X6" s="648"/>
      <c r="Y6" s="649"/>
      <c r="Z6" s="638"/>
      <c r="AA6" s="639"/>
      <c r="AB6" s="639"/>
      <c r="AC6" s="640"/>
      <c r="AD6" s="626"/>
      <c r="AE6" s="627"/>
      <c r="AF6" s="627"/>
      <c r="AG6" s="627"/>
      <c r="AH6" s="627"/>
      <c r="AI6" s="627"/>
      <c r="AJ6" s="627"/>
      <c r="AK6" s="628"/>
    </row>
    <row r="7" spans="1:37" s="292" customFormat="1" ht="32.25" customHeight="1" thickTop="1">
      <c r="A7" s="291"/>
      <c r="B7" s="621" t="s">
        <v>5</v>
      </c>
      <c r="C7" s="619" t="s">
        <v>6</v>
      </c>
      <c r="D7" s="612" t="s">
        <v>232</v>
      </c>
      <c r="E7" s="661" t="s">
        <v>249</v>
      </c>
      <c r="F7" s="612" t="s">
        <v>35</v>
      </c>
      <c r="G7" s="612" t="s">
        <v>233</v>
      </c>
      <c r="H7" s="654" t="s">
        <v>246</v>
      </c>
      <c r="I7" s="655"/>
      <c r="J7" s="655"/>
      <c r="K7" s="655"/>
      <c r="L7" s="655"/>
      <c r="M7" s="656"/>
      <c r="N7" s="619" t="s">
        <v>7</v>
      </c>
      <c r="O7" s="654" t="s">
        <v>38</v>
      </c>
      <c r="P7" s="655"/>
      <c r="Q7" s="655"/>
      <c r="R7" s="655"/>
      <c r="S7" s="656"/>
      <c r="T7" s="619" t="s">
        <v>8</v>
      </c>
      <c r="U7" s="619" t="s">
        <v>129</v>
      </c>
      <c r="V7" s="614" t="s">
        <v>132</v>
      </c>
      <c r="W7" s="615"/>
      <c r="X7" s="619" t="s">
        <v>129</v>
      </c>
      <c r="Y7" s="487" t="s">
        <v>133</v>
      </c>
      <c r="Z7" s="619" t="s">
        <v>130</v>
      </c>
      <c r="AA7" s="612" t="s">
        <v>34</v>
      </c>
      <c r="AB7" s="619" t="s">
        <v>134</v>
      </c>
      <c r="AC7" s="619"/>
      <c r="AD7" s="614" t="s">
        <v>130</v>
      </c>
      <c r="AE7" s="615"/>
      <c r="AF7" s="614" t="s">
        <v>34</v>
      </c>
      <c r="AG7" s="615"/>
      <c r="AH7" s="657"/>
      <c r="AI7" s="658"/>
      <c r="AJ7" s="659" t="s">
        <v>125</v>
      </c>
      <c r="AK7" s="660"/>
    </row>
    <row r="8" spans="1:37" s="292" customFormat="1" ht="59.25" customHeight="1" thickBot="1">
      <c r="A8" s="291"/>
      <c r="B8" s="622"/>
      <c r="C8" s="620"/>
      <c r="D8" s="613"/>
      <c r="E8" s="662"/>
      <c r="F8" s="613"/>
      <c r="G8" s="613"/>
      <c r="H8" s="429" t="s">
        <v>234</v>
      </c>
      <c r="I8" s="429" t="s">
        <v>235</v>
      </c>
      <c r="J8" s="429" t="s">
        <v>191</v>
      </c>
      <c r="K8" s="429" t="s">
        <v>236</v>
      </c>
      <c r="L8" s="429" t="s">
        <v>154</v>
      </c>
      <c r="M8" s="430" t="s">
        <v>0</v>
      </c>
      <c r="N8" s="620"/>
      <c r="O8" s="387" t="s">
        <v>237</v>
      </c>
      <c r="P8" s="387" t="s">
        <v>238</v>
      </c>
      <c r="Q8" s="451" t="s">
        <v>245</v>
      </c>
      <c r="R8" s="456" t="s">
        <v>250</v>
      </c>
      <c r="S8" s="387" t="s">
        <v>0</v>
      </c>
      <c r="T8" s="620"/>
      <c r="U8" s="620"/>
      <c r="V8" s="303" t="s">
        <v>240</v>
      </c>
      <c r="W8" s="304" t="s">
        <v>147</v>
      </c>
      <c r="X8" s="620"/>
      <c r="Y8" s="453" t="s">
        <v>240</v>
      </c>
      <c r="Z8" s="620"/>
      <c r="AA8" s="613"/>
      <c r="AB8" s="305" t="s">
        <v>241</v>
      </c>
      <c r="AC8" s="305" t="s">
        <v>131</v>
      </c>
      <c r="AD8" s="309" t="s">
        <v>9</v>
      </c>
      <c r="AE8" s="312" t="s">
        <v>138</v>
      </c>
      <c r="AF8" s="311" t="s">
        <v>9</v>
      </c>
      <c r="AG8" s="306" t="s">
        <v>138</v>
      </c>
      <c r="AH8" s="310" t="s">
        <v>9</v>
      </c>
      <c r="AI8" s="306" t="s">
        <v>137</v>
      </c>
      <c r="AJ8" s="309" t="s">
        <v>9</v>
      </c>
      <c r="AK8" s="307" t="s">
        <v>137</v>
      </c>
    </row>
    <row r="9" spans="1:39" ht="33" customHeight="1" thickTop="1">
      <c r="A9" s="323"/>
      <c r="B9" s="332">
        <v>144</v>
      </c>
      <c r="C9" s="315" t="s">
        <v>171</v>
      </c>
      <c r="D9" s="313" t="s">
        <v>192</v>
      </c>
      <c r="E9" s="436">
        <v>0.4</v>
      </c>
      <c r="F9" s="319">
        <v>3844.37</v>
      </c>
      <c r="G9" s="319">
        <v>19568</v>
      </c>
      <c r="H9" s="424">
        <v>13791.31</v>
      </c>
      <c r="I9" s="424"/>
      <c r="J9" s="424"/>
      <c r="K9" s="424"/>
      <c r="L9" s="424"/>
      <c r="M9" s="317">
        <f>H9+I9+J9+K9+L9</f>
        <v>13791.31</v>
      </c>
      <c r="N9" s="326">
        <v>96</v>
      </c>
      <c r="O9" s="424">
        <v>34016</v>
      </c>
      <c r="P9" s="424">
        <v>1591</v>
      </c>
      <c r="Q9" s="424">
        <f aca="true" t="shared" si="0" ref="Q9:Q19">S9-O9-P9</f>
        <v>5292</v>
      </c>
      <c r="R9" s="424"/>
      <c r="S9" s="371">
        <v>40899</v>
      </c>
      <c r="T9" s="371">
        <v>132419.684</v>
      </c>
      <c r="U9" s="382">
        <v>0.4834</v>
      </c>
      <c r="V9" s="373">
        <v>0.5322</v>
      </c>
      <c r="W9" s="320">
        <v>0.7</v>
      </c>
      <c r="X9" s="371">
        <v>28459</v>
      </c>
      <c r="Y9" s="454">
        <v>483</v>
      </c>
      <c r="Z9" s="370">
        <v>222</v>
      </c>
      <c r="AA9" s="370">
        <f>'[1]فروش و بهاي تمام شده '!T22</f>
        <v>6076</v>
      </c>
      <c r="AB9" s="370">
        <v>602</v>
      </c>
      <c r="AC9" s="370">
        <f>6988.35*0.7</f>
        <v>4891.845</v>
      </c>
      <c r="AD9" s="374"/>
      <c r="AE9" s="376">
        <v>703</v>
      </c>
      <c r="AF9" s="378">
        <f>871.9+264.51</f>
        <v>1136.4099999999999</v>
      </c>
      <c r="AG9" s="383">
        <v>22808</v>
      </c>
      <c r="AH9" s="457">
        <v>119.11</v>
      </c>
      <c r="AI9" s="377">
        <v>2385</v>
      </c>
      <c r="AJ9" s="379">
        <f>1445.1*0.7</f>
        <v>1011.5699999999998</v>
      </c>
      <c r="AK9" s="384">
        <f>39847*0.7</f>
        <v>27892.899999999998</v>
      </c>
      <c r="AL9" s="426"/>
      <c r="AM9" s="426"/>
    </row>
    <row r="10" spans="1:39" ht="33" customHeight="1">
      <c r="A10" s="323"/>
      <c r="B10" s="332">
        <v>145</v>
      </c>
      <c r="C10" s="315" t="s">
        <v>171</v>
      </c>
      <c r="D10" s="313" t="s">
        <v>192</v>
      </c>
      <c r="E10" s="436">
        <v>0.4</v>
      </c>
      <c r="F10" s="319">
        <v>4035.15</v>
      </c>
      <c r="G10" s="319">
        <v>19848</v>
      </c>
      <c r="H10" s="424">
        <v>13586.4</v>
      </c>
      <c r="I10" s="424"/>
      <c r="J10" s="424"/>
      <c r="K10" s="424"/>
      <c r="L10" s="424"/>
      <c r="M10" s="317">
        <f aca="true" t="shared" si="1" ref="M10:M44">H10+I10+J10+K10+L10</f>
        <v>13586.4</v>
      </c>
      <c r="N10" s="326">
        <v>97</v>
      </c>
      <c r="O10" s="424">
        <v>29902</v>
      </c>
      <c r="P10" s="424">
        <v>1606</v>
      </c>
      <c r="Q10" s="424">
        <f t="shared" si="0"/>
        <v>3005</v>
      </c>
      <c r="R10" s="424"/>
      <c r="S10" s="371">
        <v>34513</v>
      </c>
      <c r="T10" s="371">
        <v>154687.36000000002</v>
      </c>
      <c r="U10" s="382">
        <v>0.2265</v>
      </c>
      <c r="V10" s="373">
        <v>0.2923</v>
      </c>
      <c r="W10" s="320">
        <v>0.65</v>
      </c>
      <c r="X10" s="371">
        <v>24226</v>
      </c>
      <c r="Y10" s="454">
        <v>478</v>
      </c>
      <c r="Z10" s="370"/>
      <c r="AA10" s="370">
        <f>'[1]فروش و بهاي تمام شده '!T23</f>
        <v>964</v>
      </c>
      <c r="AB10" s="370">
        <v>305</v>
      </c>
      <c r="AC10" s="370">
        <f>10016.775*0.7</f>
        <v>7011.742499999999</v>
      </c>
      <c r="AD10" s="374"/>
      <c r="AE10" s="376"/>
      <c r="AF10" s="378">
        <f>212.04</f>
        <v>212.04</v>
      </c>
      <c r="AG10" s="383">
        <v>6205</v>
      </c>
      <c r="AH10" s="457">
        <v>61.6</v>
      </c>
      <c r="AI10" s="377">
        <v>1803</v>
      </c>
      <c r="AJ10" s="379">
        <f>2461.92*0.6</f>
        <v>1477.152</v>
      </c>
      <c r="AK10" s="384">
        <f>47935.192*0.6</f>
        <v>28761.1152</v>
      </c>
      <c r="AL10" s="426"/>
      <c r="AM10" s="426"/>
    </row>
    <row r="11" spans="1:39" ht="33" customHeight="1">
      <c r="A11" s="323"/>
      <c r="B11" s="332" t="s">
        <v>161</v>
      </c>
      <c r="C11" s="315" t="s">
        <v>171</v>
      </c>
      <c r="D11" s="313" t="s">
        <v>192</v>
      </c>
      <c r="E11" s="436">
        <v>0.41</v>
      </c>
      <c r="F11" s="319">
        <v>1929.35</v>
      </c>
      <c r="G11" s="319">
        <v>8052.48</v>
      </c>
      <c r="H11" s="424">
        <v>5596.56</v>
      </c>
      <c r="I11" s="424"/>
      <c r="J11" s="424"/>
      <c r="K11" s="424"/>
      <c r="L11" s="424"/>
      <c r="M11" s="317">
        <f t="shared" si="1"/>
        <v>5596.56</v>
      </c>
      <c r="N11" s="326">
        <v>41</v>
      </c>
      <c r="O11" s="424">
        <v>13120</v>
      </c>
      <c r="P11" s="424">
        <v>688</v>
      </c>
      <c r="Q11" s="424">
        <f t="shared" si="0"/>
        <v>1495</v>
      </c>
      <c r="R11" s="424"/>
      <c r="S11" s="371">
        <v>15303</v>
      </c>
      <c r="T11" s="371">
        <v>49341.57459999999</v>
      </c>
      <c r="U11" s="382">
        <v>0.504</v>
      </c>
      <c r="V11" s="373">
        <v>0.5757</v>
      </c>
      <c r="W11" s="320">
        <v>0.95</v>
      </c>
      <c r="X11" s="371">
        <v>9598</v>
      </c>
      <c r="Y11" s="454">
        <v>259</v>
      </c>
      <c r="Z11" s="370">
        <v>1073</v>
      </c>
      <c r="AA11" s="370">
        <f>'[1]فروش و بهاي تمام شده '!T24</f>
        <v>1290</v>
      </c>
      <c r="AB11" s="370">
        <v>409</v>
      </c>
      <c r="AC11" s="370">
        <f>7766.28*0.7</f>
        <v>5436.396</v>
      </c>
      <c r="AD11" s="374"/>
      <c r="AE11" s="376">
        <v>4127</v>
      </c>
      <c r="AF11" s="378">
        <f>166.81+110.68</f>
        <v>277.49</v>
      </c>
      <c r="AG11" s="383">
        <v>4472</v>
      </c>
      <c r="AH11" s="457">
        <v>76.36</v>
      </c>
      <c r="AI11" s="377">
        <v>1223</v>
      </c>
      <c r="AJ11" s="379">
        <f>891.88*0.8</f>
        <v>713.504</v>
      </c>
      <c r="AK11" s="384">
        <f>32181.236696*0.8</f>
        <v>25744.9893568</v>
      </c>
      <c r="AL11" s="426"/>
      <c r="AM11" s="426"/>
    </row>
    <row r="12" spans="1:39" ht="33" customHeight="1">
      <c r="A12" s="323"/>
      <c r="B12" s="332" t="s">
        <v>162</v>
      </c>
      <c r="C12" s="315" t="s">
        <v>171</v>
      </c>
      <c r="D12" s="313" t="s">
        <v>192</v>
      </c>
      <c r="E12" s="436">
        <v>0.41</v>
      </c>
      <c r="F12" s="319">
        <v>1929.35</v>
      </c>
      <c r="G12" s="319">
        <v>8250.85</v>
      </c>
      <c r="H12" s="424">
        <v>5804.94</v>
      </c>
      <c r="I12" s="424"/>
      <c r="J12" s="424"/>
      <c r="K12" s="424"/>
      <c r="L12" s="424"/>
      <c r="M12" s="317">
        <f t="shared" si="1"/>
        <v>5804.94</v>
      </c>
      <c r="N12" s="326">
        <v>41</v>
      </c>
      <c r="O12" s="424">
        <v>13165</v>
      </c>
      <c r="P12" s="424">
        <v>688</v>
      </c>
      <c r="Q12" s="424">
        <f t="shared" si="0"/>
        <v>905</v>
      </c>
      <c r="R12" s="424"/>
      <c r="S12" s="371">
        <v>14758</v>
      </c>
      <c r="T12" s="371">
        <v>52629.6138</v>
      </c>
      <c r="U12" s="382">
        <v>0.6322</v>
      </c>
      <c r="V12" s="373">
        <v>0.7727</v>
      </c>
      <c r="W12" s="320">
        <v>0.95</v>
      </c>
      <c r="X12" s="371">
        <v>9656</v>
      </c>
      <c r="Y12" s="454">
        <v>403</v>
      </c>
      <c r="Z12" s="370">
        <v>1728</v>
      </c>
      <c r="AA12" s="370">
        <f>'[1]فروش و بهاي تمام شده '!T25</f>
        <v>1125</v>
      </c>
      <c r="AB12" s="370">
        <v>1263</v>
      </c>
      <c r="AC12" s="370">
        <f>7359.88*0.8</f>
        <v>5887.904</v>
      </c>
      <c r="AD12" s="374"/>
      <c r="AE12" s="376">
        <v>6963</v>
      </c>
      <c r="AF12" s="378">
        <f>151.31+97</f>
        <v>248.31</v>
      </c>
      <c r="AG12" s="383">
        <v>4143</v>
      </c>
      <c r="AH12" s="457">
        <v>263.32</v>
      </c>
      <c r="AI12" s="377">
        <v>5942</v>
      </c>
      <c r="AJ12" s="379">
        <f>970.36*0.8</f>
        <v>776.288</v>
      </c>
      <c r="AK12" s="384">
        <f>32315.466488*0.8</f>
        <v>25852.3731904</v>
      </c>
      <c r="AL12" s="426"/>
      <c r="AM12" s="426"/>
    </row>
    <row r="13" spans="1:39" ht="33" customHeight="1">
      <c r="A13" s="323"/>
      <c r="B13" s="332">
        <v>150</v>
      </c>
      <c r="C13" s="315" t="s">
        <v>171</v>
      </c>
      <c r="D13" s="313" t="s">
        <v>192</v>
      </c>
      <c r="E13" s="436">
        <v>0.41</v>
      </c>
      <c r="F13" s="319">
        <v>3594.19</v>
      </c>
      <c r="G13" s="319">
        <v>17583.7</v>
      </c>
      <c r="H13" s="424">
        <v>11644.6</v>
      </c>
      <c r="I13" s="424"/>
      <c r="J13" s="424"/>
      <c r="K13" s="424"/>
      <c r="L13" s="424"/>
      <c r="M13" s="317">
        <f t="shared" si="1"/>
        <v>11644.6</v>
      </c>
      <c r="N13" s="326">
        <v>85</v>
      </c>
      <c r="O13" s="424">
        <v>28398</v>
      </c>
      <c r="P13" s="424">
        <v>1423</v>
      </c>
      <c r="Q13" s="424">
        <f t="shared" si="0"/>
        <v>4496</v>
      </c>
      <c r="R13" s="424"/>
      <c r="S13" s="371">
        <v>34317</v>
      </c>
      <c r="T13" s="371">
        <v>130355</v>
      </c>
      <c r="U13" s="382">
        <v>0.2346</v>
      </c>
      <c r="V13" s="373">
        <v>0.3021</v>
      </c>
      <c r="W13" s="320">
        <v>0.42</v>
      </c>
      <c r="X13" s="371">
        <v>27191</v>
      </c>
      <c r="Y13" s="339">
        <v>373</v>
      </c>
      <c r="Z13" s="370"/>
      <c r="AA13" s="370">
        <f>'[1]فروش و بهاي تمام شده '!T26</f>
        <v>13159</v>
      </c>
      <c r="AB13" s="370">
        <v>1847</v>
      </c>
      <c r="AC13" s="370">
        <f>14378*0.35</f>
        <v>5032.299999999999</v>
      </c>
      <c r="AD13" s="374"/>
      <c r="AE13" s="376"/>
      <c r="AF13" s="378">
        <v>2200</v>
      </c>
      <c r="AG13" s="383">
        <v>54311</v>
      </c>
      <c r="AH13" s="457">
        <v>306.92</v>
      </c>
      <c r="AI13" s="377">
        <v>8735</v>
      </c>
      <c r="AJ13" s="379">
        <f>2327.76*0.35</f>
        <v>814.716</v>
      </c>
      <c r="AK13" s="384">
        <f>76043.672*0.35</f>
        <v>26615.285200000002</v>
      </c>
      <c r="AL13" s="426"/>
      <c r="AM13" s="426"/>
    </row>
    <row r="14" spans="1:39" ht="33" customHeight="1">
      <c r="A14" s="323"/>
      <c r="B14" s="332" t="s">
        <v>163</v>
      </c>
      <c r="C14" s="315" t="s">
        <v>171</v>
      </c>
      <c r="D14" s="313" t="s">
        <v>192</v>
      </c>
      <c r="E14" s="436">
        <v>0.41</v>
      </c>
      <c r="F14" s="319">
        <v>1748.28</v>
      </c>
      <c r="G14" s="319">
        <v>8158.31</v>
      </c>
      <c r="H14" s="424">
        <v>5717.09</v>
      </c>
      <c r="I14" s="424"/>
      <c r="J14" s="424"/>
      <c r="K14" s="424"/>
      <c r="L14" s="424"/>
      <c r="M14" s="317">
        <f t="shared" si="1"/>
        <v>5717.09</v>
      </c>
      <c r="N14" s="326">
        <v>47</v>
      </c>
      <c r="O14" s="424">
        <v>11353</v>
      </c>
      <c r="P14" s="424">
        <v>780</v>
      </c>
      <c r="Q14" s="424">
        <f t="shared" si="0"/>
        <v>3088</v>
      </c>
      <c r="R14" s="424"/>
      <c r="S14" s="371">
        <v>15221</v>
      </c>
      <c r="T14" s="371">
        <v>54591.9336</v>
      </c>
      <c r="U14" s="382">
        <v>0.5605</v>
      </c>
      <c r="V14" s="373">
        <v>0.617</v>
      </c>
      <c r="W14" s="320">
        <v>0.95</v>
      </c>
      <c r="X14" s="371">
        <v>10186</v>
      </c>
      <c r="Y14" s="371">
        <v>221</v>
      </c>
      <c r="Z14" s="370">
        <v>1868</v>
      </c>
      <c r="AA14" s="370">
        <f>'[1]فروش و بهاي تمام شده '!T27</f>
        <v>326</v>
      </c>
      <c r="AB14" s="370">
        <v>657</v>
      </c>
      <c r="AC14" s="370">
        <f>8406.48*0.8</f>
        <v>6725.184</v>
      </c>
      <c r="AD14" s="374"/>
      <c r="AE14" s="376">
        <v>6674</v>
      </c>
      <c r="AF14" s="378">
        <f>52.42+1.32</f>
        <v>53.74</v>
      </c>
      <c r="AG14" s="383">
        <v>818</v>
      </c>
      <c r="AH14" s="457">
        <v>142.92</v>
      </c>
      <c r="AI14" s="377">
        <v>3565</v>
      </c>
      <c r="AJ14" s="379">
        <f>1138.896*0.8</f>
        <v>911.1168</v>
      </c>
      <c r="AK14" s="384">
        <f>36583.549536*0.8</f>
        <v>29266.8396288</v>
      </c>
      <c r="AL14" s="426"/>
      <c r="AM14" s="426"/>
    </row>
    <row r="15" spans="1:39" ht="33" customHeight="1">
      <c r="A15" s="323"/>
      <c r="B15" s="332" t="s">
        <v>164</v>
      </c>
      <c r="C15" s="315" t="s">
        <v>171</v>
      </c>
      <c r="D15" s="313" t="s">
        <v>192</v>
      </c>
      <c r="E15" s="436">
        <v>0.41</v>
      </c>
      <c r="F15" s="319">
        <v>1748.28</v>
      </c>
      <c r="G15" s="319">
        <v>8240.66</v>
      </c>
      <c r="H15" s="424">
        <v>5737.71</v>
      </c>
      <c r="I15" s="424"/>
      <c r="J15" s="424"/>
      <c r="K15" s="424"/>
      <c r="L15" s="424"/>
      <c r="M15" s="317">
        <f t="shared" si="1"/>
        <v>5737.71</v>
      </c>
      <c r="N15" s="326">
        <v>47</v>
      </c>
      <c r="O15" s="424">
        <v>12800</v>
      </c>
      <c r="P15" s="424">
        <v>780</v>
      </c>
      <c r="Q15" s="424">
        <f t="shared" si="0"/>
        <v>1465</v>
      </c>
      <c r="R15" s="424"/>
      <c r="S15" s="371">
        <v>15045</v>
      </c>
      <c r="T15" s="371">
        <v>52332.2501</v>
      </c>
      <c r="U15" s="382">
        <v>0.5554</v>
      </c>
      <c r="V15" s="373">
        <v>0.609</v>
      </c>
      <c r="W15" s="320">
        <v>0.95</v>
      </c>
      <c r="X15" s="371">
        <v>9846</v>
      </c>
      <c r="Y15" s="371">
        <v>228</v>
      </c>
      <c r="Z15" s="370">
        <v>1547</v>
      </c>
      <c r="AA15" s="370">
        <f>'[1]فروش و بهاي تمام شده '!T28</f>
        <v>846</v>
      </c>
      <c r="AB15" s="370">
        <v>292</v>
      </c>
      <c r="AC15" s="370">
        <f>7910.32*0.8</f>
        <v>6328.256</v>
      </c>
      <c r="AD15" s="374"/>
      <c r="AE15" s="376">
        <v>5488</v>
      </c>
      <c r="AF15" s="378">
        <f>128.68+55.87</f>
        <v>184.55</v>
      </c>
      <c r="AG15" s="383">
        <v>2710</v>
      </c>
      <c r="AH15" s="457">
        <v>54.08</v>
      </c>
      <c r="AI15" s="377">
        <v>791</v>
      </c>
      <c r="AJ15" s="379">
        <f>1037.168*0.8</f>
        <v>829.7343999999999</v>
      </c>
      <c r="AK15" s="384">
        <f>34390.910076*0.8</f>
        <v>27512.7280608</v>
      </c>
      <c r="AL15" s="426"/>
      <c r="AM15" s="426"/>
    </row>
    <row r="16" spans="1:39" ht="33" customHeight="1">
      <c r="A16" s="323" t="s">
        <v>195</v>
      </c>
      <c r="B16" s="330">
        <v>155</v>
      </c>
      <c r="C16" s="313" t="s">
        <v>171</v>
      </c>
      <c r="D16" s="313" t="s">
        <v>192</v>
      </c>
      <c r="E16" s="436">
        <v>0.41</v>
      </c>
      <c r="F16" s="319">
        <v>1857.43</v>
      </c>
      <c r="G16" s="319">
        <v>8811</v>
      </c>
      <c r="H16" s="424">
        <v>6309.6</v>
      </c>
      <c r="I16" s="424"/>
      <c r="J16" s="424"/>
      <c r="K16" s="424"/>
      <c r="L16" s="424"/>
      <c r="M16" s="317">
        <f t="shared" si="1"/>
        <v>6309.6</v>
      </c>
      <c r="N16" s="326">
        <v>43</v>
      </c>
      <c r="O16" s="424">
        <v>15007</v>
      </c>
      <c r="P16" s="424">
        <v>719</v>
      </c>
      <c r="Q16" s="424">
        <f t="shared" si="0"/>
        <v>918</v>
      </c>
      <c r="R16" s="424"/>
      <c r="S16" s="371">
        <v>16644</v>
      </c>
      <c r="T16" s="371">
        <v>73621.024</v>
      </c>
      <c r="U16" s="382">
        <v>0.4874</v>
      </c>
      <c r="V16" s="373">
        <v>0.5373</v>
      </c>
      <c r="W16" s="320">
        <v>0.85</v>
      </c>
      <c r="X16" s="371">
        <v>11465</v>
      </c>
      <c r="Y16" s="371">
        <v>259</v>
      </c>
      <c r="Z16" s="370">
        <v>0</v>
      </c>
      <c r="AA16" s="370">
        <f>'[1]فروش و بهاي تمام شده '!T29</f>
        <v>835</v>
      </c>
      <c r="AB16" s="370">
        <v>884</v>
      </c>
      <c r="AC16" s="370">
        <v>6014.724999999999</v>
      </c>
      <c r="AD16" s="374"/>
      <c r="AE16" s="376">
        <v>0</v>
      </c>
      <c r="AF16" s="378">
        <f>188.64</f>
        <v>188.64</v>
      </c>
      <c r="AG16" s="383">
        <v>5435</v>
      </c>
      <c r="AH16" s="457">
        <v>191.01</v>
      </c>
      <c r="AI16" s="377">
        <v>5887</v>
      </c>
      <c r="AJ16" s="379">
        <v>1109.33</v>
      </c>
      <c r="AK16" s="384">
        <v>29797.9352</v>
      </c>
      <c r="AL16" s="426"/>
      <c r="AM16" s="426"/>
    </row>
    <row r="17" spans="1:39" ht="33" customHeight="1">
      <c r="A17" s="323"/>
      <c r="B17" s="332">
        <v>158</v>
      </c>
      <c r="C17" s="315" t="s">
        <v>171</v>
      </c>
      <c r="D17" s="313" t="s">
        <v>192</v>
      </c>
      <c r="E17" s="436">
        <v>0.41</v>
      </c>
      <c r="F17" s="319">
        <v>3369.56</v>
      </c>
      <c r="G17" s="319">
        <v>16495</v>
      </c>
      <c r="H17" s="424">
        <v>11076.98</v>
      </c>
      <c r="I17" s="424"/>
      <c r="J17" s="424"/>
      <c r="K17" s="424"/>
      <c r="L17" s="424"/>
      <c r="M17" s="317">
        <f t="shared" si="1"/>
        <v>11076.98</v>
      </c>
      <c r="N17" s="326">
        <v>92</v>
      </c>
      <c r="O17" s="424">
        <v>19752</v>
      </c>
      <c r="P17" s="424">
        <v>1469</v>
      </c>
      <c r="Q17" s="424">
        <f t="shared" si="0"/>
        <v>3913</v>
      </c>
      <c r="R17" s="424"/>
      <c r="S17" s="371">
        <v>25134</v>
      </c>
      <c r="T17" s="371">
        <v>108437.54340000001</v>
      </c>
      <c r="U17" s="382">
        <v>0.3964</v>
      </c>
      <c r="V17" s="373">
        <v>0.4173</v>
      </c>
      <c r="W17" s="320">
        <v>0.78</v>
      </c>
      <c r="X17" s="371">
        <v>15320</v>
      </c>
      <c r="Y17" s="371">
        <v>296</v>
      </c>
      <c r="Z17" s="370">
        <v>108</v>
      </c>
      <c r="AA17" s="370">
        <f>'[1]فروش و بهاي تمام شده '!T30</f>
        <v>2493</v>
      </c>
      <c r="AB17" s="370">
        <v>191</v>
      </c>
      <c r="AC17" s="370">
        <f>6347.55*0.8</f>
        <v>5078.040000000001</v>
      </c>
      <c r="AD17" s="374"/>
      <c r="AE17" s="376">
        <v>508</v>
      </c>
      <c r="AF17" s="378">
        <f>572.08+144.31</f>
        <v>716.3900000000001</v>
      </c>
      <c r="AG17" s="383">
        <v>14101</v>
      </c>
      <c r="AH17" s="457">
        <v>39.44</v>
      </c>
      <c r="AI17" s="377">
        <v>781</v>
      </c>
      <c r="AJ17" s="379">
        <f>1234.645*0.6</f>
        <v>740.7869999999999</v>
      </c>
      <c r="AK17" s="384">
        <f>42065.721926*0.6</f>
        <v>25239.4331556</v>
      </c>
      <c r="AL17" s="426"/>
      <c r="AM17" s="426"/>
    </row>
    <row r="18" spans="1:39" ht="33" customHeight="1">
      <c r="A18" s="323"/>
      <c r="B18" s="333" t="s">
        <v>178</v>
      </c>
      <c r="C18" s="315" t="s">
        <v>171</v>
      </c>
      <c r="D18" s="313" t="s">
        <v>192</v>
      </c>
      <c r="E18" s="436">
        <v>0.4</v>
      </c>
      <c r="F18" s="319">
        <v>2766.76</v>
      </c>
      <c r="G18" s="319">
        <v>14643.42</v>
      </c>
      <c r="H18" s="424">
        <v>9592.2</v>
      </c>
      <c r="I18" s="424"/>
      <c r="J18" s="424"/>
      <c r="K18" s="424"/>
      <c r="L18" s="424"/>
      <c r="M18" s="317">
        <f t="shared" si="1"/>
        <v>9592.2</v>
      </c>
      <c r="N18" s="326">
        <v>72</v>
      </c>
      <c r="O18" s="424">
        <v>22315</v>
      </c>
      <c r="P18" s="424">
        <v>1224</v>
      </c>
      <c r="Q18" s="424">
        <f t="shared" si="0"/>
        <v>9251</v>
      </c>
      <c r="R18" s="424"/>
      <c r="S18" s="371">
        <v>32790</v>
      </c>
      <c r="T18" s="371">
        <v>87734.4</v>
      </c>
      <c r="U18" s="382">
        <v>0.2</v>
      </c>
      <c r="V18" s="373">
        <v>0.2036</v>
      </c>
      <c r="W18" s="320">
        <v>0.8</v>
      </c>
      <c r="X18" s="371">
        <v>25265</v>
      </c>
      <c r="Y18" s="371">
        <v>317</v>
      </c>
      <c r="Z18" s="370">
        <v>0</v>
      </c>
      <c r="AA18" s="370">
        <f>'[1]فروش و بهاي تمام شده '!T32</f>
        <v>22067</v>
      </c>
      <c r="AB18" s="370"/>
      <c r="AC18" s="370">
        <v>3570</v>
      </c>
      <c r="AD18" s="374"/>
      <c r="AE18" s="376">
        <v>0</v>
      </c>
      <c r="AF18" s="378">
        <v>3300</v>
      </c>
      <c r="AG18" s="383">
        <v>79200</v>
      </c>
      <c r="AH18" s="457"/>
      <c r="AI18" s="377"/>
      <c r="AJ18" s="379">
        <v>1827.8</v>
      </c>
      <c r="AK18" s="384">
        <v>8534.399999999994</v>
      </c>
      <c r="AL18" s="426"/>
      <c r="AM18" s="426"/>
    </row>
    <row r="19" spans="1:39" ht="33" customHeight="1">
      <c r="A19" s="323"/>
      <c r="B19" s="333" t="s">
        <v>179</v>
      </c>
      <c r="C19" s="315" t="s">
        <v>171</v>
      </c>
      <c r="D19" s="313" t="s">
        <v>192</v>
      </c>
      <c r="E19" s="436">
        <v>0.4</v>
      </c>
      <c r="F19" s="319">
        <v>3035.36</v>
      </c>
      <c r="G19" s="319">
        <v>14731.94</v>
      </c>
      <c r="H19" s="424">
        <v>9554.95</v>
      </c>
      <c r="I19" s="424"/>
      <c r="J19" s="424"/>
      <c r="K19" s="424"/>
      <c r="L19" s="424"/>
      <c r="M19" s="317">
        <f t="shared" si="1"/>
        <v>9554.95</v>
      </c>
      <c r="N19" s="326">
        <v>72</v>
      </c>
      <c r="O19" s="424">
        <v>23839</v>
      </c>
      <c r="P19" s="424">
        <v>1224</v>
      </c>
      <c r="Q19" s="424">
        <f t="shared" si="0"/>
        <v>3267</v>
      </c>
      <c r="R19" s="424"/>
      <c r="S19" s="371">
        <v>28330</v>
      </c>
      <c r="T19" s="371">
        <v>109571.28</v>
      </c>
      <c r="U19" s="382">
        <v>0.235</v>
      </c>
      <c r="V19" s="373">
        <v>0.2548</v>
      </c>
      <c r="W19" s="320">
        <v>0.85</v>
      </c>
      <c r="X19" s="371">
        <v>20273</v>
      </c>
      <c r="Y19" s="371">
        <v>349</v>
      </c>
      <c r="Z19" s="370">
        <v>0</v>
      </c>
      <c r="AA19" s="370">
        <f>'[1]فروش و بهاي تمام شده '!T33</f>
        <v>0</v>
      </c>
      <c r="AB19" s="370">
        <v>403</v>
      </c>
      <c r="AC19" s="370">
        <f>10040*0.6</f>
        <v>6024</v>
      </c>
      <c r="AD19" s="374"/>
      <c r="AE19" s="376">
        <v>0</v>
      </c>
      <c r="AF19" s="378"/>
      <c r="AG19" s="383"/>
      <c r="AH19" s="457">
        <v>73.8</v>
      </c>
      <c r="AI19" s="377">
        <v>2098</v>
      </c>
      <c r="AJ19" s="379">
        <f>1860.65*0.6</f>
        <v>1116.39</v>
      </c>
      <c r="AK19" s="384">
        <f>46567.794*0.6</f>
        <v>27940.6764</v>
      </c>
      <c r="AL19" s="426"/>
      <c r="AM19" s="426"/>
    </row>
    <row r="20" spans="1:39" ht="33" customHeight="1">
      <c r="A20" s="323"/>
      <c r="B20" s="333" t="s">
        <v>180</v>
      </c>
      <c r="C20" s="315" t="s">
        <v>171</v>
      </c>
      <c r="D20" s="313" t="s">
        <v>192</v>
      </c>
      <c r="E20" s="436">
        <v>0.48</v>
      </c>
      <c r="F20" s="319">
        <v>2709.17</v>
      </c>
      <c r="G20" s="319">
        <v>5338</v>
      </c>
      <c r="H20" s="424">
        <v>2709.17</v>
      </c>
      <c r="I20" s="424"/>
      <c r="J20" s="424"/>
      <c r="K20" s="424"/>
      <c r="L20" s="424"/>
      <c r="M20" s="317">
        <f t="shared" si="1"/>
        <v>2709.17</v>
      </c>
      <c r="N20" s="326">
        <v>32</v>
      </c>
      <c r="O20" s="424">
        <v>7778</v>
      </c>
      <c r="P20" s="424">
        <v>612</v>
      </c>
      <c r="Q20" s="424">
        <v>340</v>
      </c>
      <c r="R20" s="424"/>
      <c r="S20" s="371">
        <v>8050</v>
      </c>
      <c r="T20" s="371">
        <v>50834.7344</v>
      </c>
      <c r="U20" s="382">
        <v>0.5544</v>
      </c>
      <c r="V20" s="373">
        <v>0.5966</v>
      </c>
      <c r="W20" s="320">
        <v>0.95</v>
      </c>
      <c r="X20" s="371">
        <v>4632</v>
      </c>
      <c r="Y20" s="371">
        <v>251</v>
      </c>
      <c r="Z20" s="370">
        <v>0</v>
      </c>
      <c r="AA20" s="370">
        <f>'[1]فروش و بهاي تمام شده '!T34</f>
        <v>1283</v>
      </c>
      <c r="AB20" s="370">
        <v>173</v>
      </c>
      <c r="AC20" s="370">
        <v>4244.48</v>
      </c>
      <c r="AD20" s="374"/>
      <c r="AE20" s="376">
        <v>0</v>
      </c>
      <c r="AF20" s="378">
        <f>239.87+284.67</f>
        <v>524.54</v>
      </c>
      <c r="AG20" s="383">
        <v>12968</v>
      </c>
      <c r="AH20" s="457">
        <v>39.92</v>
      </c>
      <c r="AI20" s="377">
        <v>1002</v>
      </c>
      <c r="AJ20" s="379">
        <v>757.176</v>
      </c>
      <c r="AK20" s="384">
        <v>14479.734400000001</v>
      </c>
      <c r="AL20" s="426"/>
      <c r="AM20" s="426"/>
    </row>
    <row r="21" spans="1:39" ht="33" customHeight="1">
      <c r="A21" s="323" t="s">
        <v>196</v>
      </c>
      <c r="B21" s="333" t="s">
        <v>181</v>
      </c>
      <c r="C21" s="315" t="s">
        <v>171</v>
      </c>
      <c r="D21" s="313" t="s">
        <v>192</v>
      </c>
      <c r="E21" s="436">
        <v>0.48</v>
      </c>
      <c r="F21" s="319">
        <v>1955.3</v>
      </c>
      <c r="G21" s="319">
        <v>5615.22</v>
      </c>
      <c r="H21" s="424">
        <v>3997.7</v>
      </c>
      <c r="I21" s="424"/>
      <c r="J21" s="424"/>
      <c r="K21" s="424"/>
      <c r="L21" s="424"/>
      <c r="M21" s="317">
        <f t="shared" si="1"/>
        <v>3997.7</v>
      </c>
      <c r="N21" s="326">
        <v>28</v>
      </c>
      <c r="O21" s="424">
        <v>8084</v>
      </c>
      <c r="P21" s="424">
        <v>489</v>
      </c>
      <c r="Q21" s="424">
        <v>334</v>
      </c>
      <c r="R21" s="424"/>
      <c r="S21" s="371">
        <v>8239</v>
      </c>
      <c r="T21" s="371">
        <v>53710.899999999994</v>
      </c>
      <c r="U21" s="382">
        <v>0.315</v>
      </c>
      <c r="V21" s="373">
        <v>0.3716</v>
      </c>
      <c r="W21" s="320">
        <v>0.82</v>
      </c>
      <c r="X21" s="371">
        <v>6095</v>
      </c>
      <c r="Y21" s="339">
        <v>307</v>
      </c>
      <c r="Z21" s="370">
        <v>0</v>
      </c>
      <c r="AA21" s="370">
        <f>'[1]فروش و بهاي تمام شده '!T35</f>
        <v>0</v>
      </c>
      <c r="AB21" s="370"/>
      <c r="AC21" s="370">
        <v>3377.99</v>
      </c>
      <c r="AD21" s="374"/>
      <c r="AE21" s="376">
        <v>0</v>
      </c>
      <c r="AF21" s="378"/>
      <c r="AG21" s="383"/>
      <c r="AH21" s="457"/>
      <c r="AI21" s="377"/>
      <c r="AJ21" s="379">
        <v>926.05</v>
      </c>
      <c r="AK21" s="384">
        <v>22021.468999999997</v>
      </c>
      <c r="AL21" s="426"/>
      <c r="AM21" s="426"/>
    </row>
    <row r="22" spans="1:39" ht="33" customHeight="1">
      <c r="A22" s="323"/>
      <c r="B22" s="334" t="s">
        <v>182</v>
      </c>
      <c r="C22" s="313" t="s">
        <v>171</v>
      </c>
      <c r="D22" s="313" t="s">
        <v>192</v>
      </c>
      <c r="E22" s="436">
        <v>0.48</v>
      </c>
      <c r="F22" s="319">
        <v>1955.65</v>
      </c>
      <c r="G22" s="319">
        <v>5576.43</v>
      </c>
      <c r="H22" s="424">
        <v>3755.13</v>
      </c>
      <c r="I22" s="424"/>
      <c r="J22" s="424"/>
      <c r="K22" s="424"/>
      <c r="L22" s="424"/>
      <c r="M22" s="317">
        <f t="shared" si="1"/>
        <v>3755.13</v>
      </c>
      <c r="N22" s="326">
        <v>28</v>
      </c>
      <c r="O22" s="424">
        <v>8268</v>
      </c>
      <c r="P22" s="424">
        <v>140</v>
      </c>
      <c r="Q22" s="424">
        <v>529</v>
      </c>
      <c r="R22" s="424"/>
      <c r="S22" s="371">
        <v>7879</v>
      </c>
      <c r="T22" s="371">
        <v>52272.5</v>
      </c>
      <c r="U22" s="382">
        <v>0.28</v>
      </c>
      <c r="V22" s="373">
        <v>0.3922</v>
      </c>
      <c r="W22" s="320">
        <v>0.74</v>
      </c>
      <c r="X22" s="371">
        <v>5761</v>
      </c>
      <c r="Y22" s="371">
        <v>349</v>
      </c>
      <c r="Z22" s="370">
        <v>0</v>
      </c>
      <c r="AA22" s="370">
        <f>'[1]فروش و بهاي تمام شده '!T36</f>
        <v>0</v>
      </c>
      <c r="AB22" s="370"/>
      <c r="AC22" s="370">
        <v>2915.23</v>
      </c>
      <c r="AD22" s="374"/>
      <c r="AE22" s="376">
        <v>0</v>
      </c>
      <c r="AF22" s="378"/>
      <c r="AG22" s="383"/>
      <c r="AH22" s="457"/>
      <c r="AI22" s="377"/>
      <c r="AJ22" s="379">
        <v>901.25</v>
      </c>
      <c r="AK22" s="384">
        <v>19340.825</v>
      </c>
      <c r="AL22" s="426"/>
      <c r="AM22" s="426"/>
    </row>
    <row r="23" spans="1:39" ht="33" customHeight="1">
      <c r="A23" s="323"/>
      <c r="B23" s="333" t="s">
        <v>183</v>
      </c>
      <c r="C23" s="315" t="s">
        <v>171</v>
      </c>
      <c r="D23" s="313" t="s">
        <v>192</v>
      </c>
      <c r="E23" s="436">
        <v>0.48</v>
      </c>
      <c r="F23" s="319">
        <v>1601.52</v>
      </c>
      <c r="G23" s="319">
        <v>4856.2</v>
      </c>
      <c r="H23" s="424">
        <v>3278.75</v>
      </c>
      <c r="I23" s="424"/>
      <c r="J23" s="424"/>
      <c r="K23" s="424"/>
      <c r="L23" s="424"/>
      <c r="M23" s="317">
        <f t="shared" si="1"/>
        <v>3278.75</v>
      </c>
      <c r="N23" s="326">
        <v>23</v>
      </c>
      <c r="O23" s="424">
        <v>6789</v>
      </c>
      <c r="P23" s="424">
        <v>115</v>
      </c>
      <c r="Q23" s="424">
        <v>8</v>
      </c>
      <c r="R23" s="424"/>
      <c r="S23" s="371">
        <v>6896</v>
      </c>
      <c r="T23" s="371">
        <v>45640.2</v>
      </c>
      <c r="U23" s="382">
        <v>0.205</v>
      </c>
      <c r="V23" s="373">
        <v>0.3265</v>
      </c>
      <c r="W23" s="320">
        <v>0.75</v>
      </c>
      <c r="X23" s="371">
        <v>5514</v>
      </c>
      <c r="Y23" s="371">
        <v>172</v>
      </c>
      <c r="Z23" s="370">
        <v>0</v>
      </c>
      <c r="AA23" s="370">
        <f>'[1]فروش و بهاي تمام شده '!T37</f>
        <v>0</v>
      </c>
      <c r="AB23" s="370"/>
      <c r="AC23" s="370">
        <v>2586</v>
      </c>
      <c r="AD23" s="374"/>
      <c r="AE23" s="376">
        <v>0</v>
      </c>
      <c r="AF23" s="378"/>
      <c r="AG23" s="383"/>
      <c r="AH23" s="457"/>
      <c r="AI23" s="377"/>
      <c r="AJ23" s="379">
        <v>786.9</v>
      </c>
      <c r="AK23" s="384">
        <v>17115.074999999997</v>
      </c>
      <c r="AL23" s="426"/>
      <c r="AM23" s="426"/>
    </row>
    <row r="24" spans="1:39" ht="33" customHeight="1">
      <c r="A24" s="323"/>
      <c r="B24" s="333" t="s">
        <v>184</v>
      </c>
      <c r="C24" s="315" t="s">
        <v>171</v>
      </c>
      <c r="D24" s="313" t="s">
        <v>192</v>
      </c>
      <c r="E24" s="436">
        <v>0.48</v>
      </c>
      <c r="F24" s="319">
        <v>1969.96</v>
      </c>
      <c r="G24" s="319">
        <v>5615.2</v>
      </c>
      <c r="H24" s="424">
        <v>4078.84</v>
      </c>
      <c r="I24" s="424"/>
      <c r="J24" s="424"/>
      <c r="K24" s="424"/>
      <c r="L24" s="424"/>
      <c r="M24" s="317">
        <f t="shared" si="1"/>
        <v>4078.84</v>
      </c>
      <c r="N24" s="326">
        <v>30</v>
      </c>
      <c r="O24" s="424">
        <v>8009</v>
      </c>
      <c r="P24" s="424">
        <v>150</v>
      </c>
      <c r="Q24" s="424">
        <v>98</v>
      </c>
      <c r="R24" s="424"/>
      <c r="S24" s="371">
        <v>8061</v>
      </c>
      <c r="T24" s="371">
        <v>53677.257999999994</v>
      </c>
      <c r="U24" s="382">
        <v>0.3492</v>
      </c>
      <c r="V24" s="373">
        <v>0.5659</v>
      </c>
      <c r="W24" s="320">
        <v>0.9</v>
      </c>
      <c r="X24" s="371">
        <v>5720</v>
      </c>
      <c r="Y24" s="371">
        <v>293</v>
      </c>
      <c r="Z24" s="370">
        <v>0</v>
      </c>
      <c r="AA24" s="370">
        <f>'[1]فروش و بهاي تمام شده '!T38</f>
        <v>428</v>
      </c>
      <c r="AB24" s="370">
        <v>175</v>
      </c>
      <c r="AC24" s="370">
        <f>5265.76*0.8</f>
        <v>4212.608</v>
      </c>
      <c r="AD24" s="374"/>
      <c r="AE24" s="376">
        <v>0</v>
      </c>
      <c r="AF24" s="378">
        <f>18.56+120.28</f>
        <v>138.84</v>
      </c>
      <c r="AG24" s="383">
        <v>3869</v>
      </c>
      <c r="AH24" s="457">
        <v>46.6</v>
      </c>
      <c r="AI24" s="377">
        <v>1314</v>
      </c>
      <c r="AJ24" s="379">
        <f>1399.04*0.8</f>
        <v>1119.232</v>
      </c>
      <c r="AK24" s="384">
        <f>35310.98576*0.8</f>
        <v>28248.788608000003</v>
      </c>
      <c r="AL24" s="426"/>
      <c r="AM24" s="426"/>
    </row>
    <row r="25" spans="1:39" ht="33" customHeight="1">
      <c r="A25" s="323"/>
      <c r="B25" s="333" t="s">
        <v>185</v>
      </c>
      <c r="C25" s="315" t="s">
        <v>171</v>
      </c>
      <c r="D25" s="313" t="s">
        <v>192</v>
      </c>
      <c r="E25" s="436">
        <v>0.48</v>
      </c>
      <c r="F25" s="319">
        <v>2524.9</v>
      </c>
      <c r="G25" s="319">
        <v>6356.13</v>
      </c>
      <c r="H25" s="424">
        <v>4427.16</v>
      </c>
      <c r="I25" s="424"/>
      <c r="J25" s="424"/>
      <c r="K25" s="424"/>
      <c r="L25" s="424"/>
      <c r="M25" s="317">
        <f t="shared" si="1"/>
        <v>4427.16</v>
      </c>
      <c r="N25" s="326">
        <v>36</v>
      </c>
      <c r="O25" s="424">
        <v>9788</v>
      </c>
      <c r="P25" s="424">
        <v>612</v>
      </c>
      <c r="Q25" s="424">
        <f>S25-O25-P25</f>
        <v>33</v>
      </c>
      <c r="R25" s="424"/>
      <c r="S25" s="371">
        <v>10433</v>
      </c>
      <c r="T25" s="371">
        <v>47913.811200000004</v>
      </c>
      <c r="U25" s="382">
        <v>0.542</v>
      </c>
      <c r="V25" s="373">
        <v>0.6437</v>
      </c>
      <c r="W25" s="320">
        <v>0.95</v>
      </c>
      <c r="X25" s="371">
        <v>6574</v>
      </c>
      <c r="Y25" s="371">
        <v>282</v>
      </c>
      <c r="Z25" s="370">
        <v>330</v>
      </c>
      <c r="AA25" s="370">
        <f>'[1]فروش و بهاي تمام شده '!T39</f>
        <v>1321</v>
      </c>
      <c r="AB25" s="370">
        <v>389</v>
      </c>
      <c r="AC25" s="370">
        <f>5360*0.8</f>
        <v>4288</v>
      </c>
      <c r="AD25" s="374"/>
      <c r="AE25" s="376">
        <v>1668</v>
      </c>
      <c r="AF25" s="378">
        <f>384.4+15.71</f>
        <v>400.10999999999996</v>
      </c>
      <c r="AG25" s="383">
        <v>7088</v>
      </c>
      <c r="AH25" s="457">
        <v>96.32</v>
      </c>
      <c r="AI25" s="377">
        <v>1635</v>
      </c>
      <c r="AJ25" s="379">
        <f>877.096*0.8</f>
        <v>701.6768000000001</v>
      </c>
      <c r="AK25" s="384">
        <f>30759.056512*0.8</f>
        <v>24607.2452096</v>
      </c>
      <c r="AL25" s="426"/>
      <c r="AM25" s="426"/>
    </row>
    <row r="26" spans="1:39" ht="33" customHeight="1">
      <c r="A26" s="323"/>
      <c r="B26" s="333" t="s">
        <v>186</v>
      </c>
      <c r="C26" s="315" t="s">
        <v>171</v>
      </c>
      <c r="D26" s="315" t="s">
        <v>192</v>
      </c>
      <c r="E26" s="437">
        <v>0.42</v>
      </c>
      <c r="F26" s="336">
        <v>2382.29</v>
      </c>
      <c r="G26" s="336">
        <v>9887.39</v>
      </c>
      <c r="H26" s="339">
        <v>6761.27</v>
      </c>
      <c r="I26" s="339"/>
      <c r="J26" s="339"/>
      <c r="K26" s="339"/>
      <c r="L26" s="339"/>
      <c r="M26" s="317">
        <f t="shared" si="1"/>
        <v>6761.27</v>
      </c>
      <c r="N26" s="338">
        <v>49</v>
      </c>
      <c r="O26" s="339">
        <v>9361</v>
      </c>
      <c r="P26" s="339">
        <v>474</v>
      </c>
      <c r="Q26" s="424">
        <f>S26-O26-P26</f>
        <v>325</v>
      </c>
      <c r="R26" s="339"/>
      <c r="S26" s="339">
        <v>10160</v>
      </c>
      <c r="T26" s="339">
        <v>107423.54000000001</v>
      </c>
      <c r="U26" s="340">
        <v>0</v>
      </c>
      <c r="V26" s="341">
        <v>0</v>
      </c>
      <c r="W26" s="320">
        <v>0.25</v>
      </c>
      <c r="X26" s="339">
        <v>7643</v>
      </c>
      <c r="Y26" s="339">
        <v>1500</v>
      </c>
      <c r="Z26" s="337">
        <v>0</v>
      </c>
      <c r="AA26" s="337">
        <f>'[1]فروش و بهاي تمام شده '!T40</f>
        <v>0</v>
      </c>
      <c r="AB26" s="337"/>
      <c r="AC26" s="337">
        <v>0</v>
      </c>
      <c r="AD26" s="342"/>
      <c r="AE26" s="343">
        <v>0</v>
      </c>
      <c r="AF26" s="344"/>
      <c r="AG26" s="345"/>
      <c r="AH26" s="458"/>
      <c r="AI26" s="346"/>
      <c r="AJ26" s="347"/>
      <c r="AK26" s="348"/>
      <c r="AL26" s="426"/>
      <c r="AM26" s="426"/>
    </row>
    <row r="27" spans="1:39" ht="33" customHeight="1">
      <c r="A27" s="323"/>
      <c r="B27" s="330">
        <v>120</v>
      </c>
      <c r="C27" s="313" t="s">
        <v>171</v>
      </c>
      <c r="D27" s="313" t="s">
        <v>192</v>
      </c>
      <c r="E27" s="436">
        <v>0.38</v>
      </c>
      <c r="F27" s="319">
        <v>4285.79</v>
      </c>
      <c r="G27" s="319">
        <v>26754.4</v>
      </c>
      <c r="H27" s="424">
        <v>17883.08</v>
      </c>
      <c r="I27" s="424"/>
      <c r="J27" s="424"/>
      <c r="K27" s="424"/>
      <c r="L27" s="424"/>
      <c r="M27" s="317">
        <f t="shared" si="1"/>
        <v>17883.08</v>
      </c>
      <c r="N27" s="326">
        <v>113</v>
      </c>
      <c r="O27" s="424">
        <v>45379</v>
      </c>
      <c r="P27" s="424">
        <v>1790</v>
      </c>
      <c r="Q27" s="424">
        <f>S27-O27-P27</f>
        <v>771</v>
      </c>
      <c r="R27" s="424"/>
      <c r="S27" s="371">
        <v>47940</v>
      </c>
      <c r="T27" s="371">
        <v>163987</v>
      </c>
      <c r="U27" s="382"/>
      <c r="V27" s="373"/>
      <c r="W27" s="320"/>
      <c r="X27" s="371">
        <v>47940</v>
      </c>
      <c r="Y27" s="371"/>
      <c r="Z27" s="370"/>
      <c r="AA27" s="370">
        <f>'[1]فروش و بهاي تمام شده '!T19</f>
        <v>45447</v>
      </c>
      <c r="AB27" s="370"/>
      <c r="AC27" s="370">
        <v>0</v>
      </c>
      <c r="AD27" s="374"/>
      <c r="AE27" s="376"/>
      <c r="AF27" s="378">
        <v>6559.46</v>
      </c>
      <c r="AG27" s="383">
        <v>163987</v>
      </c>
      <c r="AH27" s="457"/>
      <c r="AI27" s="377"/>
      <c r="AJ27" s="379"/>
      <c r="AK27" s="384">
        <v>0</v>
      </c>
      <c r="AL27" s="426"/>
      <c r="AM27" s="426"/>
    </row>
    <row r="28" spans="1:39" ht="33" customHeight="1">
      <c r="A28" s="323"/>
      <c r="B28" s="331">
        <v>122</v>
      </c>
      <c r="C28" s="314" t="s">
        <v>171</v>
      </c>
      <c r="D28" s="433" t="s">
        <v>243</v>
      </c>
      <c r="E28" s="437">
        <v>1</v>
      </c>
      <c r="F28" s="321"/>
      <c r="G28" s="319"/>
      <c r="H28" s="424"/>
      <c r="I28" s="424"/>
      <c r="J28" s="424">
        <v>5528</v>
      </c>
      <c r="K28" s="424"/>
      <c r="L28" s="424"/>
      <c r="M28" s="317">
        <f t="shared" si="1"/>
        <v>5528</v>
      </c>
      <c r="N28" s="326">
        <v>200</v>
      </c>
      <c r="O28" s="651">
        <v>96575</v>
      </c>
      <c r="P28" s="652"/>
      <c r="Q28" s="653"/>
      <c r="R28" s="424"/>
      <c r="S28" s="371">
        <v>96575</v>
      </c>
      <c r="T28" s="371">
        <v>238210</v>
      </c>
      <c r="U28" s="382"/>
      <c r="V28" s="373"/>
      <c r="W28" s="320"/>
      <c r="X28" s="371">
        <v>96575</v>
      </c>
      <c r="Y28" s="371"/>
      <c r="Z28" s="370"/>
      <c r="AA28" s="370">
        <f>'[1]فروش و بهاي تمام شده '!T20</f>
        <v>84568</v>
      </c>
      <c r="AB28" s="370"/>
      <c r="AC28" s="370">
        <v>0</v>
      </c>
      <c r="AD28" s="374"/>
      <c r="AE28" s="376"/>
      <c r="AF28" s="378"/>
      <c r="AG28" s="383">
        <v>238210</v>
      </c>
      <c r="AH28" s="457"/>
      <c r="AI28" s="377"/>
      <c r="AJ28" s="379"/>
      <c r="AK28" s="384">
        <v>0</v>
      </c>
      <c r="AL28" s="426"/>
      <c r="AM28" s="426"/>
    </row>
    <row r="29" spans="1:39" ht="33" customHeight="1">
      <c r="A29" s="323"/>
      <c r="B29" s="332">
        <v>123</v>
      </c>
      <c r="C29" s="315" t="s">
        <v>171</v>
      </c>
      <c r="D29" s="313" t="s">
        <v>192</v>
      </c>
      <c r="E29" s="436">
        <v>0.38</v>
      </c>
      <c r="F29" s="319">
        <v>4857.78</v>
      </c>
      <c r="G29" s="319">
        <v>26754.4</v>
      </c>
      <c r="H29" s="424">
        <v>17883.08</v>
      </c>
      <c r="I29" s="424"/>
      <c r="J29" s="424"/>
      <c r="K29" s="424"/>
      <c r="L29" s="424"/>
      <c r="M29" s="317">
        <f t="shared" si="1"/>
        <v>17883.08</v>
      </c>
      <c r="N29" s="326">
        <v>113</v>
      </c>
      <c r="O29" s="424">
        <v>46523</v>
      </c>
      <c r="P29" s="424">
        <v>1790</v>
      </c>
      <c r="Q29" s="424">
        <f>S29-O29-P29</f>
        <v>2250</v>
      </c>
      <c r="R29" s="424"/>
      <c r="S29" s="371">
        <v>50563</v>
      </c>
      <c r="T29" s="371">
        <v>163987</v>
      </c>
      <c r="U29" s="382"/>
      <c r="V29" s="373"/>
      <c r="W29" s="320"/>
      <c r="X29" s="371">
        <v>50563</v>
      </c>
      <c r="Y29" s="339"/>
      <c r="Z29" s="370"/>
      <c r="AA29" s="370">
        <f>'[1]فروش و بهاي تمام شده '!T21</f>
        <v>47648</v>
      </c>
      <c r="AB29" s="370"/>
      <c r="AC29" s="370">
        <v>0</v>
      </c>
      <c r="AD29" s="374"/>
      <c r="AE29" s="376"/>
      <c r="AF29" s="378">
        <v>6559.46</v>
      </c>
      <c r="AG29" s="383">
        <v>163987</v>
      </c>
      <c r="AH29" s="457"/>
      <c r="AI29" s="377"/>
      <c r="AJ29" s="379"/>
      <c r="AK29" s="384">
        <v>0</v>
      </c>
      <c r="AL29" s="426"/>
      <c r="AM29" s="426"/>
    </row>
    <row r="30" spans="1:39" ht="33" customHeight="1">
      <c r="A30" s="323"/>
      <c r="B30" s="314" t="s">
        <v>165</v>
      </c>
      <c r="C30" s="314" t="s">
        <v>172</v>
      </c>
      <c r="D30" s="314" t="s">
        <v>243</v>
      </c>
      <c r="E30" s="438">
        <v>1</v>
      </c>
      <c r="F30" s="321">
        <v>418</v>
      </c>
      <c r="G30" s="321"/>
      <c r="H30" s="425"/>
      <c r="I30" s="425"/>
      <c r="J30" s="425"/>
      <c r="K30" s="425"/>
      <c r="L30" s="425"/>
      <c r="M30" s="317">
        <f t="shared" si="1"/>
        <v>0</v>
      </c>
      <c r="N30" s="322"/>
      <c r="O30" s="425">
        <v>50000</v>
      </c>
      <c r="P30" s="425"/>
      <c r="Q30" s="424">
        <v>3710</v>
      </c>
      <c r="R30" s="425"/>
      <c r="S30" s="339">
        <v>53710</v>
      </c>
      <c r="T30" s="339">
        <v>78214</v>
      </c>
      <c r="U30" s="340"/>
      <c r="V30" s="341"/>
      <c r="W30" s="320"/>
      <c r="X30" s="339"/>
      <c r="Y30" s="339"/>
      <c r="Z30" s="338">
        <v>0</v>
      </c>
      <c r="AA30" s="337">
        <f>'[1]فروش و بهاي تمام شده '!T41</f>
        <v>0</v>
      </c>
      <c r="AB30" s="337">
        <v>53710</v>
      </c>
      <c r="AC30" s="337">
        <v>53710</v>
      </c>
      <c r="AD30" s="349"/>
      <c r="AE30" s="350">
        <v>0</v>
      </c>
      <c r="AF30" s="351"/>
      <c r="AG30" s="345"/>
      <c r="AH30" s="458">
        <v>601.86</v>
      </c>
      <c r="AI30" s="352">
        <v>78214</v>
      </c>
      <c r="AJ30" s="347">
        <v>602</v>
      </c>
      <c r="AK30" s="385">
        <v>78214</v>
      </c>
      <c r="AL30" s="426"/>
      <c r="AM30" s="426"/>
    </row>
    <row r="31" spans="1:39" ht="33" customHeight="1">
      <c r="A31" s="323"/>
      <c r="B31" s="314" t="s">
        <v>166</v>
      </c>
      <c r="C31" s="460" t="s">
        <v>173</v>
      </c>
      <c r="D31" s="314" t="s">
        <v>244</v>
      </c>
      <c r="E31" s="438">
        <v>1</v>
      </c>
      <c r="F31" s="321">
        <v>1850.85</v>
      </c>
      <c r="G31" s="321"/>
      <c r="H31" s="425"/>
      <c r="I31" s="425"/>
      <c r="J31" s="425"/>
      <c r="K31" s="425"/>
      <c r="L31" s="425"/>
      <c r="M31" s="317">
        <f t="shared" si="1"/>
        <v>0</v>
      </c>
      <c r="N31" s="322"/>
      <c r="O31" s="425">
        <v>30949</v>
      </c>
      <c r="P31" s="425"/>
      <c r="Q31" s="424"/>
      <c r="R31" s="425"/>
      <c r="S31" s="339">
        <v>30949</v>
      </c>
      <c r="T31" s="339">
        <v>37017</v>
      </c>
      <c r="U31" s="340"/>
      <c r="V31" s="341"/>
      <c r="W31" s="320"/>
      <c r="X31" s="339"/>
      <c r="Y31" s="339"/>
      <c r="Z31" s="338">
        <v>0</v>
      </c>
      <c r="AA31" s="337">
        <f>'[1]فروش و بهاي تمام شده '!T42</f>
        <v>24080</v>
      </c>
      <c r="AB31" s="337"/>
      <c r="AC31" s="337"/>
      <c r="AD31" s="349"/>
      <c r="AE31" s="350">
        <v>0</v>
      </c>
      <c r="AF31" s="347"/>
      <c r="AG31" s="345">
        <v>37017</v>
      </c>
      <c r="AH31" s="458"/>
      <c r="AI31" s="352"/>
      <c r="AJ31" s="347"/>
      <c r="AK31" s="385">
        <v>0</v>
      </c>
      <c r="AL31" s="426"/>
      <c r="AM31" s="426"/>
    </row>
    <row r="32" spans="1:39" ht="33" customHeight="1">
      <c r="A32" s="323"/>
      <c r="B32" s="315" t="s">
        <v>167</v>
      </c>
      <c r="C32" s="325" t="s">
        <v>174</v>
      </c>
      <c r="D32" s="325" t="s">
        <v>248</v>
      </c>
      <c r="E32" s="439"/>
      <c r="F32" s="321">
        <v>1500</v>
      </c>
      <c r="G32" s="321">
        <v>10227</v>
      </c>
      <c r="H32" s="425"/>
      <c r="I32" s="425">
        <v>5693</v>
      </c>
      <c r="J32" s="425"/>
      <c r="K32" s="425"/>
      <c r="L32" s="425"/>
      <c r="M32" s="317">
        <f t="shared" si="1"/>
        <v>5693</v>
      </c>
      <c r="N32" s="322">
        <v>52</v>
      </c>
      <c r="O32" s="425">
        <v>65181</v>
      </c>
      <c r="P32" s="425">
        <v>1278</v>
      </c>
      <c r="Q32" s="424">
        <f>S32-O32-P32-R32</f>
        <v>43423</v>
      </c>
      <c r="R32" s="425">
        <v>129535</v>
      </c>
      <c r="S32" s="339">
        <v>239417</v>
      </c>
      <c r="T32" s="339">
        <v>398510</v>
      </c>
      <c r="U32" s="340">
        <v>0.3</v>
      </c>
      <c r="V32" s="455">
        <v>0.3557</v>
      </c>
      <c r="W32" s="320">
        <v>0.7</v>
      </c>
      <c r="X32" s="339">
        <v>82882</v>
      </c>
      <c r="Y32" s="339">
        <v>7708</v>
      </c>
      <c r="Z32" s="338"/>
      <c r="AA32" s="337">
        <f>'[1]فروش و بهاي تمام شده '!T43</f>
        <v>0</v>
      </c>
      <c r="AB32" s="337"/>
      <c r="AC32" s="337">
        <f>52093*0.53</f>
        <v>27609.29</v>
      </c>
      <c r="AD32" s="349"/>
      <c r="AE32" s="350">
        <v>0</v>
      </c>
      <c r="AF32" s="347"/>
      <c r="AG32" s="345"/>
      <c r="AH32" s="458"/>
      <c r="AI32" s="352"/>
      <c r="AJ32" s="347">
        <f>2277.2*0.64</f>
        <v>1457.408</v>
      </c>
      <c r="AK32" s="385">
        <f>111582-70000</f>
        <v>41582</v>
      </c>
      <c r="AL32" s="426"/>
      <c r="AM32" s="426"/>
    </row>
    <row r="33" spans="1:39" ht="33" customHeight="1">
      <c r="A33" s="323"/>
      <c r="B33" s="315" t="s">
        <v>168</v>
      </c>
      <c r="C33" s="315" t="s">
        <v>175</v>
      </c>
      <c r="D33" s="459" t="s">
        <v>247</v>
      </c>
      <c r="E33" s="437">
        <v>0.3333</v>
      </c>
      <c r="F33" s="321">
        <v>3600</v>
      </c>
      <c r="G33" s="321">
        <v>49273</v>
      </c>
      <c r="H33" s="425"/>
      <c r="I33" s="425">
        <v>6515.9</v>
      </c>
      <c r="J33" s="452">
        <v>20553.2</v>
      </c>
      <c r="K33" s="425"/>
      <c r="L33" s="452">
        <f>14451+2739.34+781.91+1159.59+1209.41</f>
        <v>20341.25</v>
      </c>
      <c r="M33" s="317">
        <f t="shared" si="1"/>
        <v>47410.35</v>
      </c>
      <c r="N33" s="322">
        <v>363</v>
      </c>
      <c r="O33" s="452">
        <v>231788</v>
      </c>
      <c r="P33" s="425">
        <v>10934</v>
      </c>
      <c r="Q33" s="424">
        <f>S33-O33-P33-R33</f>
        <v>36299</v>
      </c>
      <c r="R33" s="425">
        <v>211381</v>
      </c>
      <c r="S33" s="339">
        <v>490402</v>
      </c>
      <c r="T33" s="339">
        <v>856667.6579999999</v>
      </c>
      <c r="U33" s="340">
        <v>0.516</v>
      </c>
      <c r="V33" s="341">
        <v>0.6226</v>
      </c>
      <c r="W33" s="320">
        <v>0.83</v>
      </c>
      <c r="X33" s="339">
        <v>205413</v>
      </c>
      <c r="Y33" s="339">
        <v>52401</v>
      </c>
      <c r="Z33" s="338"/>
      <c r="AA33" s="337">
        <f>'[1]فروش و بهاي تمام شده '!T44</f>
        <v>21317</v>
      </c>
      <c r="AB33" s="337">
        <v>20444</v>
      </c>
      <c r="AC33" s="337">
        <f>(140531.147-15417)*0.55</f>
        <v>68812.78085000001</v>
      </c>
      <c r="AD33" s="349"/>
      <c r="AE33" s="350">
        <v>0</v>
      </c>
      <c r="AF33" s="347"/>
      <c r="AG33" s="345">
        <v>28157</v>
      </c>
      <c r="AH33" s="458">
        <v>425.87</v>
      </c>
      <c r="AI33" s="352">
        <v>43223</v>
      </c>
      <c r="AJ33" s="347">
        <f>7248.8*0.6</f>
        <v>4349.28</v>
      </c>
      <c r="AK33" s="385">
        <f>233101*0.6</f>
        <v>139860.6</v>
      </c>
      <c r="AL33" s="426"/>
      <c r="AM33" s="426"/>
    </row>
    <row r="34" spans="1:39" ht="33" customHeight="1">
      <c r="A34" s="323"/>
      <c r="B34" s="315" t="s">
        <v>169</v>
      </c>
      <c r="C34" s="315" t="s">
        <v>176</v>
      </c>
      <c r="D34" s="315" t="s">
        <v>192</v>
      </c>
      <c r="E34" s="437">
        <v>0.35</v>
      </c>
      <c r="F34" s="321">
        <v>3915.13</v>
      </c>
      <c r="G34" s="321">
        <v>26584.81</v>
      </c>
      <c r="H34" s="425">
        <v>17988.76</v>
      </c>
      <c r="I34" s="425"/>
      <c r="J34" s="425"/>
      <c r="K34" s="425"/>
      <c r="L34" s="425"/>
      <c r="M34" s="317">
        <f t="shared" si="1"/>
        <v>17988.76</v>
      </c>
      <c r="N34" s="322">
        <v>164</v>
      </c>
      <c r="O34" s="425">
        <v>63815</v>
      </c>
      <c r="P34" s="425">
        <v>2570</v>
      </c>
      <c r="Q34" s="424">
        <f>S34-O34-P34-R34</f>
        <v>10510</v>
      </c>
      <c r="R34" s="425"/>
      <c r="S34" s="339">
        <v>76895</v>
      </c>
      <c r="T34" s="339">
        <v>151217.5</v>
      </c>
      <c r="U34" s="340">
        <v>0.057</v>
      </c>
      <c r="V34" s="341">
        <v>0.0958</v>
      </c>
      <c r="W34" s="320">
        <v>0.35</v>
      </c>
      <c r="X34" s="339">
        <v>59979</v>
      </c>
      <c r="Y34" s="339">
        <v>283</v>
      </c>
      <c r="Z34" s="338"/>
      <c r="AA34" s="337">
        <f>'[1]فروش و بهاي تمام شده '!T45</f>
        <v>0</v>
      </c>
      <c r="AB34" s="337"/>
      <c r="AC34" s="337"/>
      <c r="AD34" s="349"/>
      <c r="AE34" s="350">
        <v>0</v>
      </c>
      <c r="AF34" s="347"/>
      <c r="AG34" s="345"/>
      <c r="AH34" s="458"/>
      <c r="AI34" s="352"/>
      <c r="AJ34" s="347"/>
      <c r="AK34" s="385"/>
      <c r="AL34" s="426"/>
      <c r="AM34" s="426"/>
    </row>
    <row r="35" spans="1:39" ht="33" customHeight="1">
      <c r="A35" s="323"/>
      <c r="B35" s="461" t="s">
        <v>170</v>
      </c>
      <c r="C35" s="316" t="s">
        <v>177</v>
      </c>
      <c r="D35" s="433"/>
      <c r="E35" s="437"/>
      <c r="F35" s="336"/>
      <c r="G35" s="336"/>
      <c r="H35" s="339"/>
      <c r="I35" s="339"/>
      <c r="J35" s="339"/>
      <c r="K35" s="339"/>
      <c r="L35" s="339"/>
      <c r="M35" s="317">
        <f t="shared" si="1"/>
        <v>0</v>
      </c>
      <c r="N35" s="338"/>
      <c r="O35" s="339"/>
      <c r="P35" s="339"/>
      <c r="Q35" s="424"/>
      <c r="R35" s="339"/>
      <c r="S35" s="339">
        <v>95152</v>
      </c>
      <c r="T35" s="339">
        <v>113676</v>
      </c>
      <c r="U35" s="340"/>
      <c r="V35" s="341"/>
      <c r="W35" s="320"/>
      <c r="X35" s="339"/>
      <c r="Y35" s="339"/>
      <c r="Z35" s="338">
        <v>95152</v>
      </c>
      <c r="AA35" s="337">
        <f>'[1]فروش و بهاي تمام شده '!T46</f>
        <v>49933</v>
      </c>
      <c r="AB35" s="337"/>
      <c r="AC35" s="337"/>
      <c r="AD35" s="349"/>
      <c r="AE35" s="350">
        <v>113676</v>
      </c>
      <c r="AF35" s="351"/>
      <c r="AG35" s="345">
        <v>75928</v>
      </c>
      <c r="AH35" s="458"/>
      <c r="AI35" s="352"/>
      <c r="AJ35" s="347"/>
      <c r="AK35" s="348"/>
      <c r="AL35" s="426"/>
      <c r="AM35" s="426"/>
    </row>
    <row r="36" spans="1:39" ht="33" customHeight="1">
      <c r="A36" s="323"/>
      <c r="B36" s="329" t="s">
        <v>155</v>
      </c>
      <c r="C36" s="335" t="s">
        <v>187</v>
      </c>
      <c r="D36" s="423" t="s">
        <v>192</v>
      </c>
      <c r="E36" s="434">
        <v>0.5954</v>
      </c>
      <c r="F36" s="326">
        <v>1165</v>
      </c>
      <c r="G36" s="326">
        <v>8580</v>
      </c>
      <c r="H36" s="317">
        <v>5760.62</v>
      </c>
      <c r="I36" s="317"/>
      <c r="J36" s="317"/>
      <c r="K36" s="317"/>
      <c r="L36" s="317"/>
      <c r="M36" s="317">
        <f t="shared" si="1"/>
        <v>5760.62</v>
      </c>
      <c r="N36" s="326">
        <v>48</v>
      </c>
      <c r="O36" s="317">
        <f>S36*0.85</f>
        <v>14946.4</v>
      </c>
      <c r="P36" s="317">
        <f>S36*0.08</f>
        <v>1406.72</v>
      </c>
      <c r="Q36" s="424">
        <f aca="true" t="shared" si="2" ref="Q36:Q43">S36-O36-P36</f>
        <v>1230.8800000000003</v>
      </c>
      <c r="R36" s="450"/>
      <c r="S36" s="370">
        <v>17584</v>
      </c>
      <c r="T36" s="370">
        <v>64867.11</v>
      </c>
      <c r="U36" s="372">
        <v>0.91</v>
      </c>
      <c r="V36" s="373">
        <v>0.98</v>
      </c>
      <c r="W36" s="447">
        <v>1</v>
      </c>
      <c r="X36" s="370">
        <v>9489</v>
      </c>
      <c r="Y36" s="371">
        <v>104</v>
      </c>
      <c r="Z36" s="370">
        <v>3203</v>
      </c>
      <c r="AA36" s="370">
        <f>'[1]فروش و بهاي تمام شده '!T9</f>
        <v>2286</v>
      </c>
      <c r="AB36" s="370">
        <v>1993</v>
      </c>
      <c r="AC36" s="370">
        <f>8296.6*0.7</f>
        <v>5807.62</v>
      </c>
      <c r="AD36" s="375"/>
      <c r="AE36" s="376">
        <v>17152</v>
      </c>
      <c r="AF36" s="448">
        <f>50.27+460.44</f>
        <v>510.71</v>
      </c>
      <c r="AG36" s="377">
        <v>6139</v>
      </c>
      <c r="AH36" s="457">
        <v>641.34</v>
      </c>
      <c r="AI36" s="377">
        <v>7683</v>
      </c>
      <c r="AJ36" s="379">
        <f>1156.472*0.7</f>
        <v>809.5304</v>
      </c>
      <c r="AK36" s="380">
        <f>33207.688*0.7</f>
        <v>23245.3816</v>
      </c>
      <c r="AL36" s="426"/>
      <c r="AM36" s="426"/>
    </row>
    <row r="37" spans="1:39" ht="33" customHeight="1">
      <c r="A37" s="323"/>
      <c r="B37" s="329" t="s">
        <v>156</v>
      </c>
      <c r="C37" s="335" t="s">
        <v>187</v>
      </c>
      <c r="D37" s="423" t="s">
        <v>192</v>
      </c>
      <c r="E37" s="434">
        <v>0.566</v>
      </c>
      <c r="F37" s="326">
        <v>900</v>
      </c>
      <c r="G37" s="326">
        <v>5778</v>
      </c>
      <c r="H37" s="317">
        <v>4465.57</v>
      </c>
      <c r="I37" s="317"/>
      <c r="J37" s="317"/>
      <c r="K37" s="317"/>
      <c r="L37" s="317"/>
      <c r="M37" s="317">
        <f t="shared" si="1"/>
        <v>4465.57</v>
      </c>
      <c r="N37" s="326">
        <v>33</v>
      </c>
      <c r="O37" s="317">
        <f aca="true" t="shared" si="3" ref="O37:O44">S37*0.85</f>
        <v>9888.9</v>
      </c>
      <c r="P37" s="317">
        <f aca="true" t="shared" si="4" ref="P37:P43">S37*0.08</f>
        <v>930.72</v>
      </c>
      <c r="Q37" s="424">
        <f t="shared" si="2"/>
        <v>814.3800000000003</v>
      </c>
      <c r="R37" s="450"/>
      <c r="S37" s="370">
        <v>11634</v>
      </c>
      <c r="T37" s="370">
        <v>29066</v>
      </c>
      <c r="U37" s="372">
        <v>0.72</v>
      </c>
      <c r="V37" s="373">
        <v>0.72</v>
      </c>
      <c r="W37" s="318">
        <v>0.72</v>
      </c>
      <c r="X37" s="370">
        <v>7405</v>
      </c>
      <c r="Y37" s="371">
        <v>0</v>
      </c>
      <c r="Z37" s="370"/>
      <c r="AA37" s="370">
        <f>'[1]فروش و بهاي تمام شده '!T10</f>
        <v>0</v>
      </c>
      <c r="AB37" s="370"/>
      <c r="AC37" s="370">
        <v>0</v>
      </c>
      <c r="AD37" s="375"/>
      <c r="AE37" s="376"/>
      <c r="AF37" s="378"/>
      <c r="AG37" s="377"/>
      <c r="AH37" s="457"/>
      <c r="AI37" s="377"/>
      <c r="AJ37" s="379"/>
      <c r="AK37" s="381">
        <v>0</v>
      </c>
      <c r="AL37" s="426"/>
      <c r="AM37" s="426"/>
    </row>
    <row r="38" spans="1:39" ht="33" customHeight="1">
      <c r="A38" s="323"/>
      <c r="B38" s="329" t="s">
        <v>157</v>
      </c>
      <c r="C38" s="335" t="s">
        <v>187</v>
      </c>
      <c r="D38" s="423" t="s">
        <v>192</v>
      </c>
      <c r="E38" s="434">
        <v>0.4225</v>
      </c>
      <c r="F38" s="326">
        <v>1036</v>
      </c>
      <c r="G38" s="326"/>
      <c r="H38" s="317">
        <v>2114</v>
      </c>
      <c r="I38" s="317"/>
      <c r="J38" s="317"/>
      <c r="K38" s="317"/>
      <c r="L38" s="317"/>
      <c r="M38" s="317">
        <f t="shared" si="1"/>
        <v>2114</v>
      </c>
      <c r="N38" s="326">
        <v>42</v>
      </c>
      <c r="O38" s="317">
        <f t="shared" si="3"/>
        <v>8650.449999999999</v>
      </c>
      <c r="P38" s="317">
        <f t="shared" si="4"/>
        <v>814.16</v>
      </c>
      <c r="Q38" s="424">
        <f t="shared" si="2"/>
        <v>712.3900000000011</v>
      </c>
      <c r="R38" s="450"/>
      <c r="S38" s="370">
        <v>10177</v>
      </c>
      <c r="T38" s="370">
        <v>54378</v>
      </c>
      <c r="U38" s="372">
        <v>1</v>
      </c>
      <c r="V38" s="373">
        <v>1</v>
      </c>
      <c r="W38" s="318">
        <v>1</v>
      </c>
      <c r="X38" s="370">
        <f>7582+248</f>
        <v>7830</v>
      </c>
      <c r="Y38" s="371">
        <v>8</v>
      </c>
      <c r="Z38" s="370">
        <v>1974</v>
      </c>
      <c r="AA38" s="370">
        <f>'[1]فروش و بهاي تمام شده '!T11</f>
        <v>2188</v>
      </c>
      <c r="AB38" s="370"/>
      <c r="AC38" s="370"/>
      <c r="AD38" s="375"/>
      <c r="AE38" s="376">
        <v>37414</v>
      </c>
      <c r="AF38" s="378">
        <v>251.4</v>
      </c>
      <c r="AG38" s="377">
        <v>7959</v>
      </c>
      <c r="AH38" s="457"/>
      <c r="AI38" s="377"/>
      <c r="AJ38" s="379"/>
      <c r="AK38" s="381">
        <v>0</v>
      </c>
      <c r="AL38" s="426"/>
      <c r="AM38" s="426"/>
    </row>
    <row r="39" spans="1:39" ht="33" customHeight="1">
      <c r="A39" s="323"/>
      <c r="B39" s="329">
        <v>94</v>
      </c>
      <c r="C39" s="335" t="s">
        <v>187</v>
      </c>
      <c r="D39" s="423" t="s">
        <v>192</v>
      </c>
      <c r="E39" s="434">
        <v>0.425</v>
      </c>
      <c r="F39" s="319">
        <v>1610.65</v>
      </c>
      <c r="G39" s="319"/>
      <c r="H39" s="424">
        <v>1697.1864</v>
      </c>
      <c r="I39" s="424"/>
      <c r="J39" s="424"/>
      <c r="K39" s="424"/>
      <c r="L39" s="424"/>
      <c r="M39" s="317">
        <f t="shared" si="1"/>
        <v>1697.1864</v>
      </c>
      <c r="N39" s="326">
        <v>29</v>
      </c>
      <c r="O39" s="317">
        <f t="shared" si="3"/>
        <v>6009.5</v>
      </c>
      <c r="P39" s="317">
        <f t="shared" si="4"/>
        <v>565.6</v>
      </c>
      <c r="Q39" s="424">
        <f t="shared" si="2"/>
        <v>494.9</v>
      </c>
      <c r="R39" s="450"/>
      <c r="S39" s="370">
        <v>7070</v>
      </c>
      <c r="T39" s="370">
        <v>19938</v>
      </c>
      <c r="U39" s="372">
        <v>0.962</v>
      </c>
      <c r="V39" s="373">
        <v>0.97</v>
      </c>
      <c r="W39" s="318">
        <v>1</v>
      </c>
      <c r="X39" s="370">
        <f>6077+649+119</f>
        <v>6845</v>
      </c>
      <c r="Y39" s="339">
        <v>119</v>
      </c>
      <c r="Z39" s="370">
        <v>2464</v>
      </c>
      <c r="AA39" s="370">
        <f>'[1]فروش و بهاي تمام شده '!T12</f>
        <v>1795</v>
      </c>
      <c r="AB39" s="370">
        <v>115</v>
      </c>
      <c r="AC39" s="370">
        <v>115</v>
      </c>
      <c r="AD39" s="375"/>
      <c r="AE39" s="376">
        <v>8098</v>
      </c>
      <c r="AF39" s="378">
        <f>92.17+122.74</f>
        <v>214.91</v>
      </c>
      <c r="AG39" s="377">
        <v>2649</v>
      </c>
      <c r="AH39" s="457">
        <v>8.76</v>
      </c>
      <c r="AI39" s="377">
        <v>108</v>
      </c>
      <c r="AJ39" s="379"/>
      <c r="AK39" s="377">
        <v>108</v>
      </c>
      <c r="AL39" s="426"/>
      <c r="AM39" s="426"/>
    </row>
    <row r="40" spans="1:39" ht="33" customHeight="1">
      <c r="A40" s="323"/>
      <c r="B40" s="329">
        <v>95</v>
      </c>
      <c r="C40" s="335" t="s">
        <v>187</v>
      </c>
      <c r="D40" s="423" t="s">
        <v>192</v>
      </c>
      <c r="E40" s="434">
        <v>0.41</v>
      </c>
      <c r="F40" s="319">
        <v>2515.66</v>
      </c>
      <c r="G40" s="319"/>
      <c r="H40" s="424">
        <v>2655.3691</v>
      </c>
      <c r="I40" s="424"/>
      <c r="J40" s="424"/>
      <c r="K40" s="424"/>
      <c r="L40" s="424"/>
      <c r="M40" s="317">
        <f t="shared" si="1"/>
        <v>2655.3691</v>
      </c>
      <c r="N40" s="326">
        <v>47</v>
      </c>
      <c r="O40" s="317">
        <f t="shared" si="3"/>
        <v>8301.1</v>
      </c>
      <c r="P40" s="317">
        <f t="shared" si="4"/>
        <v>781.28</v>
      </c>
      <c r="Q40" s="424">
        <f t="shared" si="2"/>
        <v>683.6199999999997</v>
      </c>
      <c r="R40" s="450"/>
      <c r="S40" s="370">
        <v>9766</v>
      </c>
      <c r="T40" s="370">
        <v>30362</v>
      </c>
      <c r="U40" s="372">
        <v>0.974</v>
      </c>
      <c r="V40" s="373">
        <v>0.98</v>
      </c>
      <c r="W40" s="318">
        <v>1</v>
      </c>
      <c r="X40" s="370">
        <f>8574+796</f>
        <v>9370</v>
      </c>
      <c r="Y40" s="371">
        <v>289</v>
      </c>
      <c r="Z40" s="370">
        <v>3478</v>
      </c>
      <c r="AA40" s="370">
        <f>'[1]فروش و بهاي تمام شده '!T13</f>
        <v>4827</v>
      </c>
      <c r="AB40" s="370">
        <v>277</v>
      </c>
      <c r="AC40" s="370">
        <v>277</v>
      </c>
      <c r="AD40" s="375"/>
      <c r="AE40" s="376">
        <v>13555</v>
      </c>
      <c r="AF40" s="378">
        <f>505.07+444</f>
        <v>949.0699999999999</v>
      </c>
      <c r="AG40" s="377">
        <v>19046</v>
      </c>
      <c r="AH40" s="457">
        <v>12.94</v>
      </c>
      <c r="AI40" s="377">
        <v>306</v>
      </c>
      <c r="AJ40" s="379"/>
      <c r="AK40" s="377">
        <v>306</v>
      </c>
      <c r="AL40" s="426"/>
      <c r="AM40" s="426"/>
    </row>
    <row r="41" spans="1:39" ht="33" customHeight="1">
      <c r="A41" s="323"/>
      <c r="B41" s="329">
        <v>96</v>
      </c>
      <c r="C41" s="335" t="s">
        <v>187</v>
      </c>
      <c r="D41" s="423" t="s">
        <v>192</v>
      </c>
      <c r="E41" s="434">
        <v>1</v>
      </c>
      <c r="F41" s="319">
        <v>510</v>
      </c>
      <c r="G41" s="319"/>
      <c r="H41" s="424">
        <v>2372.79</v>
      </c>
      <c r="I41" s="424"/>
      <c r="J41" s="424"/>
      <c r="K41" s="424"/>
      <c r="L41" s="424"/>
      <c r="M41" s="317">
        <f t="shared" si="1"/>
        <v>2372.79</v>
      </c>
      <c r="N41" s="326">
        <v>20</v>
      </c>
      <c r="O41" s="317">
        <f t="shared" si="3"/>
        <v>18052.3</v>
      </c>
      <c r="P41" s="317">
        <f t="shared" si="4"/>
        <v>1699.04</v>
      </c>
      <c r="Q41" s="424">
        <f t="shared" si="2"/>
        <v>1486.6600000000008</v>
      </c>
      <c r="R41" s="450"/>
      <c r="S41" s="370">
        <f>21832-594</f>
        <v>21238</v>
      </c>
      <c r="T41" s="370">
        <v>29525</v>
      </c>
      <c r="U41" s="372">
        <v>1</v>
      </c>
      <c r="V41" s="373">
        <v>1</v>
      </c>
      <c r="W41" s="318">
        <v>1</v>
      </c>
      <c r="X41" s="370">
        <f>19950+1288</f>
        <v>21238</v>
      </c>
      <c r="Y41" s="371"/>
      <c r="Z41" s="370">
        <v>8727</v>
      </c>
      <c r="AA41" s="370">
        <f>'[1]فروش و بهاي تمام شده '!T14</f>
        <v>1271</v>
      </c>
      <c r="AB41" s="370"/>
      <c r="AC41" s="370">
        <v>0</v>
      </c>
      <c r="AD41" s="375"/>
      <c r="AE41" s="376">
        <v>9618</v>
      </c>
      <c r="AF41" s="378">
        <f>118.1</f>
        <v>118.1</v>
      </c>
      <c r="AG41" s="377">
        <v>1522</v>
      </c>
      <c r="AH41" s="457"/>
      <c r="AI41" s="377"/>
      <c r="AJ41" s="379"/>
      <c r="AK41" s="381">
        <v>0</v>
      </c>
      <c r="AL41" s="426"/>
      <c r="AM41" s="426"/>
    </row>
    <row r="42" spans="1:39" ht="33" customHeight="1">
      <c r="A42" s="323"/>
      <c r="B42" s="329" t="s">
        <v>158</v>
      </c>
      <c r="C42" s="335" t="s">
        <v>187</v>
      </c>
      <c r="D42" s="423" t="s">
        <v>192</v>
      </c>
      <c r="E42" s="434"/>
      <c r="F42" s="319">
        <v>510</v>
      </c>
      <c r="G42" s="319"/>
      <c r="H42" s="424">
        <v>2372.79</v>
      </c>
      <c r="I42" s="424"/>
      <c r="J42" s="424"/>
      <c r="K42" s="424"/>
      <c r="L42" s="424"/>
      <c r="M42" s="317">
        <f t="shared" si="1"/>
        <v>2372.79</v>
      </c>
      <c r="N42" s="326">
        <v>20</v>
      </c>
      <c r="O42" s="317">
        <f t="shared" si="3"/>
        <v>3998.4</v>
      </c>
      <c r="P42" s="317">
        <f t="shared" si="4"/>
        <v>376.32</v>
      </c>
      <c r="Q42" s="424">
        <f t="shared" si="2"/>
        <v>329.2799999999999</v>
      </c>
      <c r="R42" s="450"/>
      <c r="S42" s="370">
        <v>4704</v>
      </c>
      <c r="T42" s="370">
        <v>12432</v>
      </c>
      <c r="U42" s="372">
        <v>1</v>
      </c>
      <c r="V42" s="373">
        <v>1</v>
      </c>
      <c r="W42" s="318">
        <v>1</v>
      </c>
      <c r="X42" s="370">
        <f>4674+30</f>
        <v>4704</v>
      </c>
      <c r="Y42" s="371"/>
      <c r="Z42" s="370">
        <v>1044</v>
      </c>
      <c r="AA42" s="370">
        <f>'[1]فروش و بهاي تمام شده '!T15</f>
        <v>271</v>
      </c>
      <c r="AB42" s="370"/>
      <c r="AC42" s="370"/>
      <c r="AD42" s="375"/>
      <c r="AE42" s="376">
        <v>3148</v>
      </c>
      <c r="AF42" s="378">
        <f>36.97</f>
        <v>36.97</v>
      </c>
      <c r="AG42" s="377">
        <v>1099</v>
      </c>
      <c r="AH42" s="457"/>
      <c r="AI42" s="377"/>
      <c r="AJ42" s="379"/>
      <c r="AK42" s="381">
        <v>0</v>
      </c>
      <c r="AL42" s="426"/>
      <c r="AM42" s="426"/>
    </row>
    <row r="43" spans="1:39" ht="33" customHeight="1">
      <c r="A43" s="323"/>
      <c r="B43" s="329" t="s">
        <v>159</v>
      </c>
      <c r="C43" s="335" t="s">
        <v>187</v>
      </c>
      <c r="D43" s="423" t="s">
        <v>192</v>
      </c>
      <c r="E43" s="434"/>
      <c r="F43" s="319">
        <v>506.7</v>
      </c>
      <c r="G43" s="319"/>
      <c r="H43" s="424">
        <v>2618.52</v>
      </c>
      <c r="I43" s="424"/>
      <c r="J43" s="424"/>
      <c r="K43" s="424"/>
      <c r="L43" s="424"/>
      <c r="M43" s="317">
        <f t="shared" si="1"/>
        <v>2618.52</v>
      </c>
      <c r="N43" s="326">
        <v>20</v>
      </c>
      <c r="O43" s="317">
        <f t="shared" si="3"/>
        <v>4386.849999999999</v>
      </c>
      <c r="P43" s="317">
        <f t="shared" si="4"/>
        <v>412.88</v>
      </c>
      <c r="Q43" s="424">
        <f t="shared" si="2"/>
        <v>361.27000000000055</v>
      </c>
      <c r="R43" s="450"/>
      <c r="S43" s="370">
        <v>5161</v>
      </c>
      <c r="T43" s="370">
        <v>13943</v>
      </c>
      <c r="U43" s="372">
        <v>1</v>
      </c>
      <c r="V43" s="373">
        <v>1</v>
      </c>
      <c r="W43" s="318">
        <v>1</v>
      </c>
      <c r="X43" s="370">
        <f>5072+89</f>
        <v>5161</v>
      </c>
      <c r="Y43" s="371"/>
      <c r="Z43" s="370">
        <v>683</v>
      </c>
      <c r="AA43" s="370">
        <f>'[1]فروش و بهاي تمام شده '!T16</f>
        <v>1175</v>
      </c>
      <c r="AB43" s="370"/>
      <c r="AC43" s="370"/>
      <c r="AD43" s="375"/>
      <c r="AE43" s="376">
        <v>1557</v>
      </c>
      <c r="AF43" s="378"/>
      <c r="AG43" s="377">
        <v>7142</v>
      </c>
      <c r="AH43" s="457"/>
      <c r="AI43" s="377"/>
      <c r="AJ43" s="379"/>
      <c r="AK43" s="381">
        <v>0</v>
      </c>
      <c r="AL43" s="426"/>
      <c r="AM43" s="426"/>
    </row>
    <row r="44" spans="1:39" ht="33" customHeight="1" hidden="1">
      <c r="A44" s="323"/>
      <c r="B44" s="327" t="s">
        <v>160</v>
      </c>
      <c r="C44" s="335" t="s">
        <v>187</v>
      </c>
      <c r="D44" s="423"/>
      <c r="E44" s="434"/>
      <c r="F44" s="319"/>
      <c r="G44" s="319"/>
      <c r="H44" s="424"/>
      <c r="I44" s="424"/>
      <c r="J44" s="424"/>
      <c r="K44" s="424"/>
      <c r="L44" s="424"/>
      <c r="M44" s="317">
        <f t="shared" si="1"/>
        <v>0</v>
      </c>
      <c r="N44" s="326">
        <v>40</v>
      </c>
      <c r="O44" s="317">
        <f t="shared" si="3"/>
        <v>2192.15</v>
      </c>
      <c r="P44" s="424"/>
      <c r="Q44" s="424">
        <f>S44-O44-P44</f>
        <v>386.8499999999999</v>
      </c>
      <c r="R44" s="424"/>
      <c r="S44" s="371">
        <v>2579</v>
      </c>
      <c r="T44" s="371">
        <v>14179</v>
      </c>
      <c r="U44" s="382">
        <v>1</v>
      </c>
      <c r="V44" s="373">
        <v>1</v>
      </c>
      <c r="W44" s="320">
        <v>1</v>
      </c>
      <c r="X44" s="371"/>
      <c r="Y44" s="371"/>
      <c r="Z44" s="370">
        <v>429</v>
      </c>
      <c r="AA44" s="370">
        <f>'[1]فروش و بهاي تمام شده '!T17</f>
        <v>160</v>
      </c>
      <c r="AB44" s="370"/>
      <c r="AC44" s="370"/>
      <c r="AD44" s="374"/>
      <c r="AE44" s="376">
        <v>2984</v>
      </c>
      <c r="AF44" s="378">
        <v>90</v>
      </c>
      <c r="AG44" s="383">
        <v>1096</v>
      </c>
      <c r="AH44" s="457"/>
      <c r="AI44" s="377"/>
      <c r="AJ44" s="379"/>
      <c r="AK44" s="384">
        <v>0</v>
      </c>
      <c r="AL44" s="426"/>
      <c r="AM44" s="426"/>
    </row>
    <row r="45" spans="1:39" ht="33" customHeight="1" thickBot="1">
      <c r="A45" s="323"/>
      <c r="B45" s="328" t="s">
        <v>153</v>
      </c>
      <c r="C45" s="328"/>
      <c r="D45" s="327"/>
      <c r="E45" s="435"/>
      <c r="F45" s="319"/>
      <c r="G45" s="319"/>
      <c r="H45" s="424"/>
      <c r="I45" s="424"/>
      <c r="J45" s="424"/>
      <c r="K45" s="424"/>
      <c r="L45" s="424"/>
      <c r="M45" s="317"/>
      <c r="N45" s="326">
        <v>100</v>
      </c>
      <c r="O45" s="317"/>
      <c r="P45" s="424"/>
      <c r="Q45" s="424"/>
      <c r="R45" s="424"/>
      <c r="S45" s="371">
        <v>38740</v>
      </c>
      <c r="T45" s="371">
        <v>75838</v>
      </c>
      <c r="U45" s="382"/>
      <c r="V45" s="373"/>
      <c r="W45" s="320"/>
      <c r="X45" s="371">
        <v>38740</v>
      </c>
      <c r="Y45" s="371"/>
      <c r="Z45" s="370">
        <v>13875</v>
      </c>
      <c r="AA45" s="370">
        <f>'[1]فروش و بهاي تمام شده '!T18</f>
        <v>9311</v>
      </c>
      <c r="AB45" s="370">
        <f>270+94+10858+407</f>
        <v>11629</v>
      </c>
      <c r="AC45" s="370">
        <f>4367+15526+12511-6255-425</f>
        <v>25724</v>
      </c>
      <c r="AD45" s="374"/>
      <c r="AE45" s="376">
        <v>22530</v>
      </c>
      <c r="AF45" s="378"/>
      <c r="AG45" s="383">
        <v>75838</v>
      </c>
      <c r="AH45" s="457"/>
      <c r="AI45" s="377">
        <f>1600+1417+32538+3185</f>
        <v>38740</v>
      </c>
      <c r="AJ45" s="379"/>
      <c r="AK45" s="384">
        <f>38740+23193+5946+4794</f>
        <v>72673</v>
      </c>
      <c r="AL45" s="426"/>
      <c r="AM45" s="426"/>
    </row>
    <row r="46" spans="1:37" ht="34.5" customHeight="1" thickBot="1" thickTop="1">
      <c r="A46" s="323"/>
      <c r="B46" s="616" t="s">
        <v>0</v>
      </c>
      <c r="C46" s="617"/>
      <c r="D46" s="617"/>
      <c r="E46" s="617"/>
      <c r="F46" s="617"/>
      <c r="G46" s="617"/>
      <c r="H46" s="617"/>
      <c r="I46" s="617"/>
      <c r="J46" s="617"/>
      <c r="K46" s="617"/>
      <c r="L46" s="617"/>
      <c r="M46" s="617"/>
      <c r="N46" s="618"/>
      <c r="O46" s="449">
        <f aca="true" t="shared" si="5" ref="O46:AC46">SUM(O9:O45)</f>
        <v>988380.05</v>
      </c>
      <c r="P46" s="444">
        <f t="shared" si="5"/>
        <v>40132.72</v>
      </c>
      <c r="Q46" s="449">
        <f t="shared" si="5"/>
        <v>142225.23</v>
      </c>
      <c r="R46" s="444">
        <f t="shared" si="5"/>
        <v>340916</v>
      </c>
      <c r="S46" s="444">
        <f t="shared" si="5"/>
        <v>1642928</v>
      </c>
      <c r="T46" s="324">
        <f t="shared" si="5"/>
        <v>3963208.8750999994</v>
      </c>
      <c r="U46" s="445"/>
      <c r="V46" s="324"/>
      <c r="W46" s="446"/>
      <c r="X46" s="444">
        <f t="shared" si="5"/>
        <v>887558</v>
      </c>
      <c r="Y46" s="324">
        <f t="shared" si="5"/>
        <v>67732</v>
      </c>
      <c r="Z46" s="324">
        <f t="shared" si="5"/>
        <v>137905</v>
      </c>
      <c r="AA46" s="445">
        <f t="shared" si="5"/>
        <v>348490</v>
      </c>
      <c r="AB46" s="324">
        <f t="shared" si="5"/>
        <v>95758</v>
      </c>
      <c r="AC46" s="445">
        <f t="shared" si="5"/>
        <v>265680.39135000005</v>
      </c>
      <c r="AD46" s="324">
        <f aca="true" t="shared" si="6" ref="AD46:AK46">SUM(AD9:AD45)</f>
        <v>0</v>
      </c>
      <c r="AE46" s="444">
        <f t="shared" si="6"/>
        <v>255863</v>
      </c>
      <c r="AF46" s="324">
        <f t="shared" si="6"/>
        <v>24871.14</v>
      </c>
      <c r="AG46" s="444">
        <f t="shared" si="6"/>
        <v>1047904</v>
      </c>
      <c r="AH46" s="324">
        <f t="shared" si="6"/>
        <v>3202.17</v>
      </c>
      <c r="AI46" s="324">
        <f t="shared" si="6"/>
        <v>205435</v>
      </c>
      <c r="AJ46" s="449">
        <f t="shared" si="6"/>
        <v>23738.891399999993</v>
      </c>
      <c r="AK46" s="469">
        <f t="shared" si="6"/>
        <v>764960.7942100001</v>
      </c>
    </row>
    <row r="47" spans="1:12" s="6" customFormat="1" ht="14.25" customHeight="1" thickTop="1">
      <c r="A47" s="41"/>
      <c r="E47" s="440"/>
      <c r="H47" s="353"/>
      <c r="I47" s="353"/>
      <c r="J47" s="353"/>
      <c r="K47" s="353"/>
      <c r="L47" s="353"/>
    </row>
    <row r="48" spans="1:37" s="468" customFormat="1" ht="33" customHeight="1">
      <c r="A48" s="60"/>
      <c r="B48" s="650"/>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0"/>
    </row>
    <row r="49" spans="1:37" s="6" customFormat="1" ht="45" customHeight="1">
      <c r="A49" s="41"/>
      <c r="E49" s="440"/>
      <c r="H49" s="353"/>
      <c r="I49" s="353"/>
      <c r="J49" s="353"/>
      <c r="K49" s="353"/>
      <c r="L49" s="353"/>
      <c r="AC49" s="353"/>
      <c r="AK49" s="353"/>
    </row>
    <row r="50" spans="1:12" s="6" customFormat="1" ht="57.75" customHeight="1">
      <c r="A50" s="41"/>
      <c r="E50" s="440"/>
      <c r="H50" s="353"/>
      <c r="I50" s="353"/>
      <c r="J50" s="353"/>
      <c r="K50" s="353"/>
      <c r="L50" s="353"/>
    </row>
    <row r="51" ht="36.75" customHeight="1"/>
    <row r="52" ht="36.75" customHeight="1"/>
    <row r="53" ht="36.75" customHeight="1"/>
    <row r="54" ht="36.75" customHeight="1"/>
    <row r="55" ht="36.75" customHeight="1"/>
    <row r="56" ht="36.75" customHeight="1"/>
    <row r="57" ht="36.75" customHeight="1"/>
    <row r="58" ht="39.75" customHeight="1"/>
    <row r="59" spans="2:29" ht="17.25">
      <c r="B59" s="213"/>
      <c r="C59" s="213"/>
      <c r="D59" s="213"/>
      <c r="E59" s="442"/>
      <c r="F59" s="213"/>
      <c r="G59" s="213"/>
      <c r="H59" s="427"/>
      <c r="I59" s="427"/>
      <c r="J59" s="427"/>
      <c r="K59" s="427"/>
      <c r="L59" s="427"/>
      <c r="M59" s="213"/>
      <c r="N59" s="213"/>
      <c r="O59" s="213"/>
      <c r="P59" s="213"/>
      <c r="Q59" s="213"/>
      <c r="R59" s="213"/>
      <c r="S59" s="213"/>
      <c r="T59" s="213"/>
      <c r="U59" s="213"/>
      <c r="V59" s="213"/>
      <c r="W59" s="213"/>
      <c r="X59" s="213"/>
      <c r="Y59" s="213"/>
      <c r="Z59" s="213"/>
      <c r="AA59" s="213"/>
      <c r="AB59" s="213"/>
      <c r="AC59" s="213"/>
    </row>
    <row r="60" spans="2:29" ht="17.25">
      <c r="B60" s="213"/>
      <c r="C60" s="213"/>
      <c r="D60" s="213"/>
      <c r="E60" s="442"/>
      <c r="F60" s="213"/>
      <c r="G60" s="213"/>
      <c r="H60" s="427"/>
      <c r="I60" s="427"/>
      <c r="J60" s="427"/>
      <c r="K60" s="427"/>
      <c r="L60" s="427"/>
      <c r="M60" s="213"/>
      <c r="N60" s="213"/>
      <c r="O60" s="213"/>
      <c r="P60" s="213"/>
      <c r="Q60" s="213"/>
      <c r="R60" s="213"/>
      <c r="S60" s="213"/>
      <c r="T60" s="213"/>
      <c r="U60" s="213"/>
      <c r="V60" s="213"/>
      <c r="W60" s="213"/>
      <c r="X60" s="213"/>
      <c r="Y60" s="213"/>
      <c r="Z60" s="213"/>
      <c r="AA60" s="213"/>
      <c r="AB60" s="213"/>
      <c r="AC60" s="213"/>
    </row>
    <row r="61" spans="1:29" ht="17.25" customHeight="1">
      <c r="A61" s="290"/>
      <c r="B61" s="290"/>
      <c r="C61" s="290"/>
      <c r="D61" s="290"/>
      <c r="E61" s="443"/>
      <c r="F61" s="290"/>
      <c r="G61" s="290"/>
      <c r="H61" s="428"/>
      <c r="I61" s="428"/>
      <c r="J61" s="428"/>
      <c r="K61" s="428"/>
      <c r="L61" s="428"/>
      <c r="M61" s="290"/>
      <c r="N61" s="290"/>
      <c r="O61" s="290"/>
      <c r="P61" s="290"/>
      <c r="Q61" s="290"/>
      <c r="R61" s="290"/>
      <c r="S61" s="290"/>
      <c r="T61" s="290"/>
      <c r="U61" s="290"/>
      <c r="V61" s="290"/>
      <c r="W61" s="290"/>
      <c r="X61" s="290"/>
      <c r="Y61" s="290"/>
      <c r="Z61" s="213"/>
      <c r="AA61" s="213"/>
      <c r="AB61" s="213"/>
      <c r="AC61" s="213"/>
    </row>
    <row r="62" spans="1:29" ht="17.25" customHeight="1">
      <c r="A62" s="611"/>
      <c r="B62" s="611"/>
      <c r="C62" s="611"/>
      <c r="D62" s="611"/>
      <c r="E62" s="611"/>
      <c r="F62" s="611"/>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row>
    <row r="63" spans="2:25" ht="17.25">
      <c r="B63" s="213"/>
      <c r="C63" s="213"/>
      <c r="D63" s="213"/>
      <c r="E63" s="442"/>
      <c r="F63" s="213"/>
      <c r="G63" s="213"/>
      <c r="H63" s="427"/>
      <c r="I63" s="427"/>
      <c r="J63" s="427"/>
      <c r="K63" s="427"/>
      <c r="L63" s="427"/>
      <c r="M63" s="213"/>
      <c r="N63" s="213"/>
      <c r="O63" s="213"/>
      <c r="P63" s="213"/>
      <c r="Q63" s="213"/>
      <c r="R63" s="213"/>
      <c r="S63" s="213"/>
      <c r="T63" s="213"/>
      <c r="U63" s="213"/>
      <c r="V63" s="213"/>
      <c r="W63" s="213"/>
      <c r="X63" s="213"/>
      <c r="Y63" s="213"/>
    </row>
    <row r="64" spans="2:25" ht="17.25">
      <c r="B64" s="213"/>
      <c r="C64" s="213"/>
      <c r="D64" s="213"/>
      <c r="E64" s="442"/>
      <c r="F64" s="213"/>
      <c r="G64" s="213"/>
      <c r="H64" s="427"/>
      <c r="I64" s="427"/>
      <c r="J64" s="427"/>
      <c r="K64" s="427"/>
      <c r="L64" s="427"/>
      <c r="M64" s="213"/>
      <c r="N64" s="213"/>
      <c r="O64" s="213"/>
      <c r="P64" s="213"/>
      <c r="Q64" s="213"/>
      <c r="R64" s="213"/>
      <c r="S64" s="213"/>
      <c r="T64" s="213"/>
      <c r="U64" s="213"/>
      <c r="V64" s="213"/>
      <c r="W64" s="213"/>
      <c r="X64" s="213"/>
      <c r="Y64" s="213"/>
    </row>
  </sheetData>
  <sheetProtection/>
  <mergeCells count="33">
    <mergeCell ref="X7:X8"/>
    <mergeCell ref="D7:D8"/>
    <mergeCell ref="E7:E8"/>
    <mergeCell ref="B4:T4"/>
    <mergeCell ref="B5:T6"/>
    <mergeCell ref="X5:Y6"/>
    <mergeCell ref="B48:AK48"/>
    <mergeCell ref="O28:Q28"/>
    <mergeCell ref="G7:G8"/>
    <mergeCell ref="H7:M7"/>
    <mergeCell ref="O7:S7"/>
    <mergeCell ref="AH7:AI7"/>
    <mergeCell ref="AJ7:AK7"/>
    <mergeCell ref="T7:T8"/>
    <mergeCell ref="U7:U8"/>
    <mergeCell ref="AD5:AK6"/>
    <mergeCell ref="AD7:AE7"/>
    <mergeCell ref="AF7:AG7"/>
    <mergeCell ref="A1:AC1"/>
    <mergeCell ref="A2:AC2"/>
    <mergeCell ref="A3:AC3"/>
    <mergeCell ref="U5:W6"/>
    <mergeCell ref="Z5:AC6"/>
    <mergeCell ref="A62:AC62"/>
    <mergeCell ref="F7:F8"/>
    <mergeCell ref="AA7:AA8"/>
    <mergeCell ref="V7:W7"/>
    <mergeCell ref="B46:N46"/>
    <mergeCell ref="Z7:Z8"/>
    <mergeCell ref="AB7:AC7"/>
    <mergeCell ref="B7:B8"/>
    <mergeCell ref="C7:C8"/>
    <mergeCell ref="N7:N8"/>
  </mergeCells>
  <printOptions horizontalCentered="1"/>
  <pageMargins left="0.2362204724409449" right="0.2755905511811024" top="0.2362204724409449" bottom="0.1968503937007874" header="0.2362204724409449" footer="0.15748031496062992"/>
  <pageSetup horizontalDpi="600" verticalDpi="600" orientation="landscape" paperSize="8" scale="50" r:id="rId3"/>
  <legacyDrawing r:id="rId2"/>
</worksheet>
</file>

<file path=xl/worksheets/sheet9.xml><?xml version="1.0" encoding="utf-8"?>
<worksheet xmlns="http://schemas.openxmlformats.org/spreadsheetml/2006/main" xmlns:r="http://schemas.openxmlformats.org/officeDocument/2006/relationships">
  <sheetPr>
    <tabColor theme="0"/>
  </sheetPr>
  <dimension ref="A1:IV33"/>
  <sheetViews>
    <sheetView rightToLeft="1" view="pageBreakPreview" zoomScaleSheetLayoutView="100" zoomScalePageLayoutView="0" workbookViewId="0" topLeftCell="A1">
      <selection activeCell="D10" sqref="D10"/>
    </sheetView>
  </sheetViews>
  <sheetFormatPr defaultColWidth="9.140625" defaultRowHeight="12.75"/>
  <cols>
    <col min="2" max="2" width="24.8515625" style="0" customWidth="1"/>
    <col min="3" max="14" width="11.00390625" style="0" customWidth="1"/>
    <col min="16" max="16" width="29.57421875" style="0" customWidth="1"/>
    <col min="30" max="30" width="25.57421875" style="0" customWidth="1"/>
    <col min="31" max="31" width="10.140625" style="0" customWidth="1"/>
    <col min="37" max="37" width="10.8515625" style="0" customWidth="1"/>
    <col min="38" max="39" width="10.57421875" style="0" customWidth="1"/>
    <col min="40" max="40" width="11.421875" style="0" customWidth="1"/>
    <col min="41" max="41" width="10.140625" style="0" customWidth="1"/>
    <col min="42" max="42" width="10.28125" style="0" customWidth="1"/>
    <col min="44" max="44" width="28.421875" style="0" customWidth="1"/>
  </cols>
  <sheetData>
    <row r="1" spans="1:256" ht="31.5">
      <c r="A1" s="500" t="s">
        <v>150</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0"/>
      <c r="DQ1" s="500"/>
      <c r="DR1" s="500"/>
      <c r="DS1" s="500"/>
      <c r="DT1" s="500"/>
      <c r="DU1" s="500"/>
      <c r="DV1" s="500"/>
      <c r="DW1" s="500"/>
      <c r="DX1" s="500"/>
      <c r="DY1" s="500"/>
      <c r="DZ1" s="500"/>
      <c r="EA1" s="500"/>
      <c r="EB1" s="500"/>
      <c r="EC1" s="500"/>
      <c r="ED1" s="500"/>
      <c r="EE1" s="500"/>
      <c r="EF1" s="500"/>
      <c r="EG1" s="500"/>
      <c r="EH1" s="500"/>
      <c r="EI1" s="500"/>
      <c r="EJ1" s="500"/>
      <c r="EK1" s="500"/>
      <c r="EL1" s="500"/>
      <c r="EM1" s="500"/>
      <c r="EN1" s="500"/>
      <c r="EO1" s="500"/>
      <c r="EP1" s="500"/>
      <c r="EQ1" s="500"/>
      <c r="ER1" s="500"/>
      <c r="ES1" s="500"/>
      <c r="ET1" s="500"/>
      <c r="EU1" s="500"/>
      <c r="EV1" s="500"/>
      <c r="EW1" s="500"/>
      <c r="EX1" s="500"/>
      <c r="EY1" s="500"/>
      <c r="EZ1" s="500"/>
      <c r="FA1" s="500"/>
      <c r="FB1" s="500"/>
      <c r="FC1" s="500"/>
      <c r="FD1" s="500"/>
      <c r="FE1" s="500"/>
      <c r="FF1" s="500"/>
      <c r="FG1" s="500"/>
      <c r="FH1" s="500"/>
      <c r="FI1" s="500"/>
      <c r="FJ1" s="500"/>
      <c r="FK1" s="500"/>
      <c r="FL1" s="500"/>
      <c r="FM1" s="500"/>
      <c r="FN1" s="500"/>
      <c r="FO1" s="500"/>
      <c r="FP1" s="500"/>
      <c r="FQ1" s="500"/>
      <c r="FR1" s="500"/>
      <c r="FS1" s="500"/>
      <c r="FT1" s="500"/>
      <c r="FU1" s="500"/>
      <c r="FV1" s="500"/>
      <c r="FW1" s="500"/>
      <c r="FX1" s="500"/>
      <c r="FY1" s="500"/>
      <c r="FZ1" s="500"/>
      <c r="GA1" s="500"/>
      <c r="GB1" s="500"/>
      <c r="GC1" s="500"/>
      <c r="GD1" s="500"/>
      <c r="GE1" s="500"/>
      <c r="GF1" s="500"/>
      <c r="GG1" s="500"/>
      <c r="GH1" s="500"/>
      <c r="GI1" s="500"/>
      <c r="GJ1" s="500"/>
      <c r="GK1" s="500"/>
      <c r="GL1" s="500"/>
      <c r="GM1" s="500"/>
      <c r="GN1" s="500"/>
      <c r="GO1" s="500"/>
      <c r="GP1" s="500"/>
      <c r="GQ1" s="500"/>
      <c r="GR1" s="500"/>
      <c r="GS1" s="500"/>
      <c r="GT1" s="500"/>
      <c r="GU1" s="500"/>
      <c r="GV1" s="500"/>
      <c r="GW1" s="500"/>
      <c r="GX1" s="500"/>
      <c r="GY1" s="500"/>
      <c r="GZ1" s="500"/>
      <c r="HA1" s="500"/>
      <c r="HB1" s="500"/>
      <c r="HC1" s="500"/>
      <c r="HD1" s="500"/>
      <c r="HE1" s="500"/>
      <c r="HF1" s="500"/>
      <c r="HG1" s="500"/>
      <c r="HH1" s="500"/>
      <c r="HI1" s="500"/>
      <c r="HJ1" s="500"/>
      <c r="HK1" s="500"/>
      <c r="HL1" s="500"/>
      <c r="HM1" s="500"/>
      <c r="HN1" s="500"/>
      <c r="HO1" s="500"/>
      <c r="HP1" s="500"/>
      <c r="HQ1" s="500"/>
      <c r="HR1" s="500"/>
      <c r="HS1" s="500"/>
      <c r="HT1" s="500"/>
      <c r="HU1" s="500"/>
      <c r="HV1" s="500"/>
      <c r="HW1" s="500"/>
      <c r="HX1" s="500"/>
      <c r="HY1" s="500"/>
      <c r="HZ1" s="500"/>
      <c r="IA1" s="500"/>
      <c r="IB1" s="500"/>
      <c r="IC1" s="500"/>
      <c r="ID1" s="500"/>
      <c r="IE1" s="500"/>
      <c r="IF1" s="500"/>
      <c r="IG1" s="500"/>
      <c r="IH1" s="500"/>
      <c r="II1" s="500"/>
      <c r="IJ1" s="500"/>
      <c r="IK1" s="500"/>
      <c r="IL1" s="500"/>
      <c r="IM1" s="500"/>
      <c r="IN1" s="500"/>
      <c r="IO1" s="500"/>
      <c r="IP1" s="500"/>
      <c r="IQ1" s="500"/>
      <c r="IR1" s="500"/>
      <c r="IS1" s="500"/>
      <c r="IT1" s="500"/>
      <c r="IU1" s="500"/>
      <c r="IV1" s="500"/>
    </row>
    <row r="2" spans="1:256" ht="27.75">
      <c r="A2" s="501" t="s">
        <v>136</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501"/>
      <c r="CF2" s="501"/>
      <c r="CG2" s="501"/>
      <c r="CH2" s="501"/>
      <c r="CI2" s="501"/>
      <c r="CJ2" s="501"/>
      <c r="CK2" s="501"/>
      <c r="CL2" s="501"/>
      <c r="CM2" s="501"/>
      <c r="CN2" s="501"/>
      <c r="CO2" s="501"/>
      <c r="CP2" s="501"/>
      <c r="CQ2" s="501"/>
      <c r="CR2" s="501"/>
      <c r="CS2" s="501"/>
      <c r="CT2" s="501"/>
      <c r="CU2" s="501"/>
      <c r="CV2" s="501"/>
      <c r="CW2" s="501"/>
      <c r="CX2" s="501"/>
      <c r="CY2" s="501"/>
      <c r="CZ2" s="501"/>
      <c r="DA2" s="501"/>
      <c r="DB2" s="501"/>
      <c r="DC2" s="501"/>
      <c r="DD2" s="501"/>
      <c r="DE2" s="501"/>
      <c r="DF2" s="501"/>
      <c r="DG2" s="501"/>
      <c r="DH2" s="501"/>
      <c r="DI2" s="501"/>
      <c r="DJ2" s="501"/>
      <c r="DK2" s="501"/>
      <c r="DL2" s="501"/>
      <c r="DM2" s="501"/>
      <c r="DN2" s="501"/>
      <c r="DO2" s="501"/>
      <c r="DP2" s="501"/>
      <c r="DQ2" s="501"/>
      <c r="DR2" s="501"/>
      <c r="DS2" s="501"/>
      <c r="DT2" s="501"/>
      <c r="DU2" s="501"/>
      <c r="DV2" s="501"/>
      <c r="DW2" s="501"/>
      <c r="DX2" s="501"/>
      <c r="DY2" s="501"/>
      <c r="DZ2" s="501"/>
      <c r="EA2" s="501"/>
      <c r="EB2" s="501"/>
      <c r="EC2" s="501"/>
      <c r="ED2" s="501"/>
      <c r="EE2" s="501"/>
      <c r="EF2" s="501"/>
      <c r="EG2" s="501"/>
      <c r="EH2" s="501"/>
      <c r="EI2" s="501"/>
      <c r="EJ2" s="501"/>
      <c r="EK2" s="501"/>
      <c r="EL2" s="501"/>
      <c r="EM2" s="501"/>
      <c r="EN2" s="501"/>
      <c r="EO2" s="501"/>
      <c r="EP2" s="501"/>
      <c r="EQ2" s="501"/>
      <c r="ER2" s="501"/>
      <c r="ES2" s="501"/>
      <c r="ET2" s="501"/>
      <c r="EU2" s="501"/>
      <c r="EV2" s="501"/>
      <c r="EW2" s="501"/>
      <c r="EX2" s="501"/>
      <c r="EY2" s="501"/>
      <c r="EZ2" s="501"/>
      <c r="FA2" s="501"/>
      <c r="FB2" s="501"/>
      <c r="FC2" s="501"/>
      <c r="FD2" s="501"/>
      <c r="FE2" s="501"/>
      <c r="FF2" s="501"/>
      <c r="FG2" s="501"/>
      <c r="FH2" s="501"/>
      <c r="FI2" s="501"/>
      <c r="FJ2" s="501"/>
      <c r="FK2" s="501"/>
      <c r="FL2" s="501"/>
      <c r="FM2" s="501"/>
      <c r="FN2" s="501"/>
      <c r="FO2" s="501"/>
      <c r="FP2" s="501"/>
      <c r="FQ2" s="501"/>
      <c r="FR2" s="501"/>
      <c r="FS2" s="501"/>
      <c r="FT2" s="501"/>
      <c r="FU2" s="501"/>
      <c r="FV2" s="501"/>
      <c r="FW2" s="501"/>
      <c r="FX2" s="501"/>
      <c r="FY2" s="501"/>
      <c r="FZ2" s="501"/>
      <c r="GA2" s="501"/>
      <c r="GB2" s="501"/>
      <c r="GC2" s="501"/>
      <c r="GD2" s="501"/>
      <c r="GE2" s="501"/>
      <c r="GF2" s="501"/>
      <c r="GG2" s="501"/>
      <c r="GH2" s="501"/>
      <c r="GI2" s="501"/>
      <c r="GJ2" s="501"/>
      <c r="GK2" s="501"/>
      <c r="GL2" s="501"/>
      <c r="GM2" s="501"/>
      <c r="GN2" s="501"/>
      <c r="GO2" s="501"/>
      <c r="GP2" s="501"/>
      <c r="GQ2" s="501"/>
      <c r="GR2" s="501"/>
      <c r="GS2" s="501"/>
      <c r="GT2" s="501"/>
      <c r="GU2" s="501"/>
      <c r="GV2" s="501"/>
      <c r="GW2" s="501"/>
      <c r="GX2" s="501"/>
      <c r="GY2" s="501"/>
      <c r="GZ2" s="501"/>
      <c r="HA2" s="501"/>
      <c r="HB2" s="501"/>
      <c r="HC2" s="501"/>
      <c r="HD2" s="501"/>
      <c r="HE2" s="501"/>
      <c r="HF2" s="501"/>
      <c r="HG2" s="501"/>
      <c r="HH2" s="501"/>
      <c r="HI2" s="501"/>
      <c r="HJ2" s="501"/>
      <c r="HK2" s="501"/>
      <c r="HL2" s="501"/>
      <c r="HM2" s="501"/>
      <c r="HN2" s="501"/>
      <c r="HO2" s="501"/>
      <c r="HP2" s="501"/>
      <c r="HQ2" s="501"/>
      <c r="HR2" s="501"/>
      <c r="HS2" s="501"/>
      <c r="HT2" s="501"/>
      <c r="HU2" s="501"/>
      <c r="HV2" s="501"/>
      <c r="HW2" s="501"/>
      <c r="HX2" s="501"/>
      <c r="HY2" s="501"/>
      <c r="HZ2" s="501"/>
      <c r="IA2" s="501"/>
      <c r="IB2" s="501"/>
      <c r="IC2" s="501"/>
      <c r="ID2" s="501"/>
      <c r="IE2" s="501"/>
      <c r="IF2" s="501"/>
      <c r="IG2" s="501"/>
      <c r="IH2" s="501"/>
      <c r="II2" s="501"/>
      <c r="IJ2" s="501"/>
      <c r="IK2" s="501"/>
      <c r="IL2" s="501"/>
      <c r="IM2" s="501"/>
      <c r="IN2" s="501"/>
      <c r="IO2" s="501"/>
      <c r="IP2" s="501"/>
      <c r="IQ2" s="501"/>
      <c r="IR2" s="501"/>
      <c r="IS2" s="501"/>
      <c r="IT2" s="501"/>
      <c r="IU2" s="501"/>
      <c r="IV2" s="501"/>
    </row>
    <row r="3" spans="1:256" ht="24.75">
      <c r="A3" s="502" t="s">
        <v>113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c r="BS3" s="502"/>
      <c r="BT3" s="502"/>
      <c r="BU3" s="502"/>
      <c r="BV3" s="502"/>
      <c r="BW3" s="502"/>
      <c r="BX3" s="502"/>
      <c r="BY3" s="502"/>
      <c r="BZ3" s="502"/>
      <c r="CA3" s="502"/>
      <c r="CB3" s="502"/>
      <c r="CC3" s="502"/>
      <c r="CD3" s="502"/>
      <c r="CE3" s="502"/>
      <c r="CF3" s="502"/>
      <c r="CG3" s="502"/>
      <c r="CH3" s="502"/>
      <c r="CI3" s="502"/>
      <c r="CJ3" s="502"/>
      <c r="CK3" s="502"/>
      <c r="CL3" s="502"/>
      <c r="CM3" s="502"/>
      <c r="CN3" s="502"/>
      <c r="CO3" s="502"/>
      <c r="CP3" s="502"/>
      <c r="CQ3" s="502"/>
      <c r="CR3" s="502"/>
      <c r="CS3" s="502"/>
      <c r="CT3" s="502"/>
      <c r="CU3" s="502"/>
      <c r="CV3" s="502"/>
      <c r="CW3" s="502"/>
      <c r="CX3" s="502"/>
      <c r="CY3" s="502"/>
      <c r="CZ3" s="502"/>
      <c r="DA3" s="502"/>
      <c r="DB3" s="502"/>
      <c r="DC3" s="502"/>
      <c r="DD3" s="502"/>
      <c r="DE3" s="502"/>
      <c r="DF3" s="502"/>
      <c r="DG3" s="502"/>
      <c r="DH3" s="502"/>
      <c r="DI3" s="502"/>
      <c r="DJ3" s="502"/>
      <c r="DK3" s="502"/>
      <c r="DL3" s="502"/>
      <c r="DM3" s="502"/>
      <c r="DN3" s="502"/>
      <c r="DO3" s="502"/>
      <c r="DP3" s="502"/>
      <c r="DQ3" s="502"/>
      <c r="DR3" s="502"/>
      <c r="DS3" s="502"/>
      <c r="DT3" s="502"/>
      <c r="DU3" s="502"/>
      <c r="DV3" s="502"/>
      <c r="DW3" s="502"/>
      <c r="DX3" s="502"/>
      <c r="DY3" s="502"/>
      <c r="DZ3" s="502"/>
      <c r="EA3" s="502"/>
      <c r="EB3" s="502"/>
      <c r="EC3" s="502"/>
      <c r="ED3" s="502"/>
      <c r="EE3" s="502"/>
      <c r="EF3" s="502"/>
      <c r="EG3" s="502"/>
      <c r="EH3" s="502"/>
      <c r="EI3" s="502"/>
      <c r="EJ3" s="502"/>
      <c r="EK3" s="502"/>
      <c r="EL3" s="502"/>
      <c r="EM3" s="502"/>
      <c r="EN3" s="502"/>
      <c r="EO3" s="502"/>
      <c r="EP3" s="502"/>
      <c r="EQ3" s="502"/>
      <c r="ER3" s="502"/>
      <c r="ES3" s="502"/>
      <c r="ET3" s="502"/>
      <c r="EU3" s="502"/>
      <c r="EV3" s="502"/>
      <c r="EW3" s="502"/>
      <c r="EX3" s="502"/>
      <c r="EY3" s="502"/>
      <c r="EZ3" s="502"/>
      <c r="FA3" s="502"/>
      <c r="FB3" s="502"/>
      <c r="FC3" s="502"/>
      <c r="FD3" s="502"/>
      <c r="FE3" s="502"/>
      <c r="FF3" s="502"/>
      <c r="FG3" s="502"/>
      <c r="FH3" s="502"/>
      <c r="FI3" s="502"/>
      <c r="FJ3" s="502"/>
      <c r="FK3" s="502"/>
      <c r="FL3" s="502"/>
      <c r="FM3" s="502"/>
      <c r="FN3" s="502"/>
      <c r="FO3" s="502"/>
      <c r="FP3" s="502"/>
      <c r="FQ3" s="502"/>
      <c r="FR3" s="502"/>
      <c r="FS3" s="502"/>
      <c r="FT3" s="502"/>
      <c r="FU3" s="502"/>
      <c r="FV3" s="502"/>
      <c r="FW3" s="502"/>
      <c r="FX3" s="502"/>
      <c r="FY3" s="502"/>
      <c r="FZ3" s="502"/>
      <c r="GA3" s="502"/>
      <c r="GB3" s="502"/>
      <c r="GC3" s="502"/>
      <c r="GD3" s="502"/>
      <c r="GE3" s="502"/>
      <c r="GF3" s="502"/>
      <c r="GG3" s="502"/>
      <c r="GH3" s="502"/>
      <c r="GI3" s="502"/>
      <c r="GJ3" s="502"/>
      <c r="GK3" s="502"/>
      <c r="GL3" s="502"/>
      <c r="GM3" s="502"/>
      <c r="GN3" s="502"/>
      <c r="GO3" s="502"/>
      <c r="GP3" s="502"/>
      <c r="GQ3" s="502"/>
      <c r="GR3" s="502"/>
      <c r="GS3" s="502"/>
      <c r="GT3" s="502"/>
      <c r="GU3" s="502"/>
      <c r="GV3" s="502"/>
      <c r="GW3" s="502"/>
      <c r="GX3" s="502"/>
      <c r="GY3" s="502"/>
      <c r="GZ3" s="502"/>
      <c r="HA3" s="502"/>
      <c r="HB3" s="502"/>
      <c r="HC3" s="502"/>
      <c r="HD3" s="502"/>
      <c r="HE3" s="502"/>
      <c r="HF3" s="502"/>
      <c r="HG3" s="502"/>
      <c r="HH3" s="502"/>
      <c r="HI3" s="502"/>
      <c r="HJ3" s="502"/>
      <c r="HK3" s="502"/>
      <c r="HL3" s="502"/>
      <c r="HM3" s="502"/>
      <c r="HN3" s="502"/>
      <c r="HO3" s="502"/>
      <c r="HP3" s="502"/>
      <c r="HQ3" s="502"/>
      <c r="HR3" s="502"/>
      <c r="HS3" s="502"/>
      <c r="HT3" s="502"/>
      <c r="HU3" s="502"/>
      <c r="HV3" s="502"/>
      <c r="HW3" s="502"/>
      <c r="HX3" s="502"/>
      <c r="HY3" s="502"/>
      <c r="HZ3" s="502"/>
      <c r="IA3" s="502"/>
      <c r="IB3" s="502"/>
      <c r="IC3" s="502"/>
      <c r="ID3" s="502"/>
      <c r="IE3" s="502"/>
      <c r="IF3" s="502"/>
      <c r="IG3" s="502"/>
      <c r="IH3" s="502"/>
      <c r="II3" s="502"/>
      <c r="IJ3" s="502"/>
      <c r="IK3" s="502"/>
      <c r="IL3" s="502"/>
      <c r="IM3" s="502"/>
      <c r="IN3" s="502"/>
      <c r="IO3" s="502"/>
      <c r="IP3" s="502"/>
      <c r="IQ3" s="502"/>
      <c r="IR3" s="502"/>
      <c r="IS3" s="502"/>
      <c r="IT3" s="502"/>
      <c r="IU3" s="502"/>
      <c r="IV3" s="502"/>
    </row>
    <row r="4" spans="1:256" ht="36.75">
      <c r="A4" s="641" t="s">
        <v>145</v>
      </c>
      <c r="B4" s="641"/>
      <c r="C4" s="641"/>
      <c r="D4" s="641"/>
      <c r="E4" s="641"/>
      <c r="F4" s="641"/>
      <c r="G4" s="641"/>
      <c r="H4" s="64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2:56" ht="22.5" customHeight="1" thickBot="1">
      <c r="B5" s="9" t="s">
        <v>65</v>
      </c>
      <c r="C5" s="9"/>
      <c r="D5" s="9"/>
      <c r="E5" s="9"/>
      <c r="F5" s="9"/>
      <c r="G5" s="9"/>
      <c r="H5" s="9"/>
      <c r="I5" s="9"/>
      <c r="J5" s="9"/>
      <c r="K5" s="9"/>
      <c r="L5" s="9"/>
      <c r="M5" s="9"/>
      <c r="N5" s="9"/>
      <c r="P5" s="9" t="s">
        <v>65</v>
      </c>
      <c r="Q5" s="9"/>
      <c r="R5" s="9"/>
      <c r="S5" s="9"/>
      <c r="T5" s="9"/>
      <c r="U5" s="9"/>
      <c r="V5" s="9"/>
      <c r="W5" s="9"/>
      <c r="X5" s="9"/>
      <c r="Y5" s="9"/>
      <c r="Z5" s="9"/>
      <c r="AA5" s="9"/>
      <c r="AB5" s="9"/>
      <c r="AD5" s="9" t="s">
        <v>65</v>
      </c>
      <c r="AE5" s="9"/>
      <c r="AF5" s="9"/>
      <c r="AG5" s="9"/>
      <c r="AH5" s="9"/>
      <c r="AI5" s="9"/>
      <c r="AJ5" s="9"/>
      <c r="AK5" s="9"/>
      <c r="AL5" s="9"/>
      <c r="AM5" s="9"/>
      <c r="AN5" s="9"/>
      <c r="AO5" s="9"/>
      <c r="AP5" s="9"/>
      <c r="AR5" s="9" t="s">
        <v>65</v>
      </c>
      <c r="AS5" s="9"/>
      <c r="AT5" s="9"/>
      <c r="AU5" s="9"/>
      <c r="AV5" s="9"/>
      <c r="AW5" s="9"/>
      <c r="AX5" s="9"/>
      <c r="AY5" s="9"/>
      <c r="AZ5" s="9"/>
      <c r="BA5" s="9"/>
      <c r="BB5" s="9"/>
      <c r="BC5" s="9"/>
      <c r="BD5" s="9"/>
    </row>
    <row r="6" spans="2:56" ht="28.5" customHeight="1">
      <c r="B6" s="10" t="s">
        <v>66</v>
      </c>
      <c r="C6" s="663" t="s">
        <v>67</v>
      </c>
      <c r="D6" s="664"/>
      <c r="E6" s="664"/>
      <c r="F6" s="664"/>
      <c r="G6" s="664"/>
      <c r="H6" s="664"/>
      <c r="I6" s="664"/>
      <c r="J6" s="664"/>
      <c r="K6" s="664"/>
      <c r="L6" s="664"/>
      <c r="M6" s="664"/>
      <c r="N6" s="665"/>
      <c r="P6" s="10" t="s">
        <v>66</v>
      </c>
      <c r="Q6" s="663" t="s">
        <v>67</v>
      </c>
      <c r="R6" s="664"/>
      <c r="S6" s="664"/>
      <c r="T6" s="664"/>
      <c r="U6" s="664"/>
      <c r="V6" s="664"/>
      <c r="W6" s="664"/>
      <c r="X6" s="664"/>
      <c r="Y6" s="664"/>
      <c r="Z6" s="664"/>
      <c r="AA6" s="664"/>
      <c r="AB6" s="665"/>
      <c r="AD6" s="10" t="s">
        <v>66</v>
      </c>
      <c r="AE6" s="663" t="s">
        <v>67</v>
      </c>
      <c r="AF6" s="664"/>
      <c r="AG6" s="664"/>
      <c r="AH6" s="664"/>
      <c r="AI6" s="664"/>
      <c r="AJ6" s="664"/>
      <c r="AK6" s="664"/>
      <c r="AL6" s="664"/>
      <c r="AM6" s="664"/>
      <c r="AN6" s="664"/>
      <c r="AO6" s="664"/>
      <c r="AP6" s="665"/>
      <c r="AR6" s="10" t="s">
        <v>66</v>
      </c>
      <c r="AS6" s="663" t="s">
        <v>67</v>
      </c>
      <c r="AT6" s="664"/>
      <c r="AU6" s="664"/>
      <c r="AV6" s="664"/>
      <c r="AW6" s="664"/>
      <c r="AX6" s="664"/>
      <c r="AY6" s="664"/>
      <c r="AZ6" s="664"/>
      <c r="BA6" s="664"/>
      <c r="BB6" s="664"/>
      <c r="BC6" s="664"/>
      <c r="BD6" s="665"/>
    </row>
    <row r="7" spans="2:56" ht="19.5" customHeight="1">
      <c r="B7" s="11"/>
      <c r="C7" s="666" t="s">
        <v>128</v>
      </c>
      <c r="D7" s="667"/>
      <c r="E7" s="668"/>
      <c r="F7" s="669" t="s">
        <v>43</v>
      </c>
      <c r="G7" s="667"/>
      <c r="H7" s="668"/>
      <c r="I7" s="669" t="s">
        <v>44</v>
      </c>
      <c r="J7" s="667"/>
      <c r="K7" s="668"/>
      <c r="L7" s="669" t="s">
        <v>45</v>
      </c>
      <c r="M7" s="667"/>
      <c r="N7" s="673"/>
      <c r="P7" s="11"/>
      <c r="Q7" s="666" t="s">
        <v>128</v>
      </c>
      <c r="R7" s="667"/>
      <c r="S7" s="668"/>
      <c r="T7" s="669" t="s">
        <v>43</v>
      </c>
      <c r="U7" s="667"/>
      <c r="V7" s="668"/>
      <c r="W7" s="669" t="s">
        <v>44</v>
      </c>
      <c r="X7" s="667"/>
      <c r="Y7" s="668"/>
      <c r="Z7" s="669" t="s">
        <v>45</v>
      </c>
      <c r="AA7" s="667"/>
      <c r="AB7" s="673"/>
      <c r="AD7" s="11"/>
      <c r="AE7" s="666" t="s">
        <v>128</v>
      </c>
      <c r="AF7" s="667"/>
      <c r="AG7" s="668"/>
      <c r="AH7" s="669" t="s">
        <v>43</v>
      </c>
      <c r="AI7" s="667"/>
      <c r="AJ7" s="668"/>
      <c r="AK7" s="669" t="s">
        <v>44</v>
      </c>
      <c r="AL7" s="667"/>
      <c r="AM7" s="668"/>
      <c r="AN7" s="669" t="s">
        <v>45</v>
      </c>
      <c r="AO7" s="667"/>
      <c r="AP7" s="673"/>
      <c r="AR7" s="11"/>
      <c r="AS7" s="666" t="s">
        <v>128</v>
      </c>
      <c r="AT7" s="667"/>
      <c r="AU7" s="668"/>
      <c r="AV7" s="669" t="s">
        <v>43</v>
      </c>
      <c r="AW7" s="667"/>
      <c r="AX7" s="668"/>
      <c r="AY7" s="669" t="s">
        <v>44</v>
      </c>
      <c r="AZ7" s="667"/>
      <c r="BA7" s="668"/>
      <c r="BB7" s="669" t="s">
        <v>45</v>
      </c>
      <c r="BC7" s="667"/>
      <c r="BD7" s="673"/>
    </row>
    <row r="8" spans="2:56" ht="21.75" customHeight="1">
      <c r="B8" s="12" t="s">
        <v>68</v>
      </c>
      <c r="C8" s="225">
        <v>1</v>
      </c>
      <c r="D8" s="13">
        <v>2</v>
      </c>
      <c r="E8" s="13">
        <v>3</v>
      </c>
      <c r="F8" s="13">
        <v>4</v>
      </c>
      <c r="G8" s="13">
        <v>5</v>
      </c>
      <c r="H8" s="13">
        <v>6</v>
      </c>
      <c r="I8" s="13">
        <v>7</v>
      </c>
      <c r="J8" s="13">
        <v>8</v>
      </c>
      <c r="K8" s="13">
        <v>9</v>
      </c>
      <c r="L8" s="13">
        <v>10</v>
      </c>
      <c r="M8" s="13">
        <v>11</v>
      </c>
      <c r="N8" s="226">
        <v>12</v>
      </c>
      <c r="P8" s="12" t="s">
        <v>68</v>
      </c>
      <c r="Q8" s="225">
        <v>1</v>
      </c>
      <c r="R8" s="13">
        <v>2</v>
      </c>
      <c r="S8" s="13">
        <v>3</v>
      </c>
      <c r="T8" s="13">
        <v>4</v>
      </c>
      <c r="U8" s="13">
        <v>5</v>
      </c>
      <c r="V8" s="13">
        <v>6</v>
      </c>
      <c r="W8" s="13">
        <v>7</v>
      </c>
      <c r="X8" s="13">
        <v>8</v>
      </c>
      <c r="Y8" s="13">
        <v>9</v>
      </c>
      <c r="Z8" s="13">
        <v>10</v>
      </c>
      <c r="AA8" s="13">
        <v>11</v>
      </c>
      <c r="AB8" s="226">
        <v>12</v>
      </c>
      <c r="AD8" s="12" t="s">
        <v>68</v>
      </c>
      <c r="AE8" s="225">
        <v>1</v>
      </c>
      <c r="AF8" s="13">
        <v>2</v>
      </c>
      <c r="AG8" s="13">
        <v>3</v>
      </c>
      <c r="AH8" s="13">
        <v>4</v>
      </c>
      <c r="AI8" s="13">
        <v>5</v>
      </c>
      <c r="AJ8" s="13">
        <v>6</v>
      </c>
      <c r="AK8" s="13">
        <v>7</v>
      </c>
      <c r="AL8" s="13">
        <v>8</v>
      </c>
      <c r="AM8" s="13">
        <v>9</v>
      </c>
      <c r="AN8" s="13">
        <v>10</v>
      </c>
      <c r="AO8" s="13">
        <v>11</v>
      </c>
      <c r="AP8" s="226">
        <v>12</v>
      </c>
      <c r="AR8" s="12" t="s">
        <v>68</v>
      </c>
      <c r="AS8" s="225">
        <v>1</v>
      </c>
      <c r="AT8" s="13">
        <v>2</v>
      </c>
      <c r="AU8" s="13">
        <v>3</v>
      </c>
      <c r="AV8" s="13">
        <v>4</v>
      </c>
      <c r="AW8" s="13">
        <v>5</v>
      </c>
      <c r="AX8" s="13">
        <v>6</v>
      </c>
      <c r="AY8" s="13">
        <v>7</v>
      </c>
      <c r="AZ8" s="13">
        <v>8</v>
      </c>
      <c r="BA8" s="13">
        <v>9</v>
      </c>
      <c r="BB8" s="13">
        <v>10</v>
      </c>
      <c r="BC8" s="13">
        <v>11</v>
      </c>
      <c r="BD8" s="226">
        <v>12</v>
      </c>
    </row>
    <row r="9" spans="2:56" ht="21.75" customHeight="1">
      <c r="B9" s="218" t="s">
        <v>69</v>
      </c>
      <c r="C9" s="227"/>
      <c r="D9" s="14"/>
      <c r="E9" s="14"/>
      <c r="F9" s="14"/>
      <c r="G9" s="14"/>
      <c r="H9" s="14"/>
      <c r="I9" s="14"/>
      <c r="J9" s="14"/>
      <c r="K9" s="14"/>
      <c r="L9" s="14"/>
      <c r="M9" s="14"/>
      <c r="N9" s="228"/>
      <c r="P9" s="218" t="s">
        <v>69</v>
      </c>
      <c r="Q9" s="227"/>
      <c r="R9" s="14"/>
      <c r="S9" s="14"/>
      <c r="T9" s="14"/>
      <c r="U9" s="14"/>
      <c r="V9" s="14"/>
      <c r="W9" s="14"/>
      <c r="X9" s="14"/>
      <c r="Y9" s="14"/>
      <c r="Z9" s="14"/>
      <c r="AA9" s="14"/>
      <c r="AB9" s="228"/>
      <c r="AD9" s="218" t="s">
        <v>69</v>
      </c>
      <c r="AE9" s="227"/>
      <c r="AF9" s="14"/>
      <c r="AG9" s="14"/>
      <c r="AH9" s="14"/>
      <c r="AI9" s="14"/>
      <c r="AJ9" s="14"/>
      <c r="AK9" s="14"/>
      <c r="AL9" s="14"/>
      <c r="AM9" s="14"/>
      <c r="AN9" s="14"/>
      <c r="AO9" s="14"/>
      <c r="AP9" s="228"/>
      <c r="AR9" s="218" t="s">
        <v>69</v>
      </c>
      <c r="AS9" s="227"/>
      <c r="AT9" s="14"/>
      <c r="AU9" s="14"/>
      <c r="AV9" s="14"/>
      <c r="AW9" s="14"/>
      <c r="AX9" s="14"/>
      <c r="AY9" s="14"/>
      <c r="AZ9" s="14"/>
      <c r="BA9" s="14"/>
      <c r="BB9" s="14"/>
      <c r="BC9" s="14"/>
      <c r="BD9" s="228"/>
    </row>
    <row r="10" spans="2:56" ht="21.75" customHeight="1">
      <c r="B10" s="219" t="s">
        <v>51</v>
      </c>
      <c r="C10" s="229"/>
      <c r="D10" s="16"/>
      <c r="E10" s="16"/>
      <c r="F10" s="16"/>
      <c r="G10" s="16"/>
      <c r="H10" s="16"/>
      <c r="I10" s="16"/>
      <c r="J10" s="16"/>
      <c r="K10" s="16"/>
      <c r="L10" s="16"/>
      <c r="M10" s="16"/>
      <c r="N10" s="230"/>
      <c r="P10" s="219" t="s">
        <v>51</v>
      </c>
      <c r="Q10" s="229"/>
      <c r="R10" s="16"/>
      <c r="S10" s="16"/>
      <c r="T10" s="16"/>
      <c r="U10" s="16"/>
      <c r="V10" s="16"/>
      <c r="W10" s="16"/>
      <c r="X10" s="16"/>
      <c r="Y10" s="16"/>
      <c r="Z10" s="16"/>
      <c r="AA10" s="16"/>
      <c r="AB10" s="230"/>
      <c r="AD10" s="219" t="s">
        <v>51</v>
      </c>
      <c r="AE10" s="229"/>
      <c r="AF10" s="16"/>
      <c r="AG10" s="16"/>
      <c r="AH10" s="16"/>
      <c r="AI10" s="16"/>
      <c r="AJ10" s="16"/>
      <c r="AK10" s="16"/>
      <c r="AL10" s="16"/>
      <c r="AM10" s="16"/>
      <c r="AN10" s="16"/>
      <c r="AO10" s="16"/>
      <c r="AP10" s="230"/>
      <c r="AR10" s="219" t="s">
        <v>51</v>
      </c>
      <c r="AS10" s="229"/>
      <c r="AT10" s="16"/>
      <c r="AU10" s="16"/>
      <c r="AV10" s="16"/>
      <c r="AW10" s="16"/>
      <c r="AX10" s="16"/>
      <c r="AY10" s="16"/>
      <c r="AZ10" s="16"/>
      <c r="BA10" s="16"/>
      <c r="BB10" s="16"/>
      <c r="BC10" s="16"/>
      <c r="BD10" s="230"/>
    </row>
    <row r="11" spans="2:56" ht="21.75" customHeight="1">
      <c r="B11" s="35" t="s">
        <v>70</v>
      </c>
      <c r="C11" s="231"/>
      <c r="D11" s="18"/>
      <c r="E11" s="18"/>
      <c r="F11" s="18"/>
      <c r="G11" s="18"/>
      <c r="H11" s="18"/>
      <c r="I11" s="18"/>
      <c r="J11" s="18"/>
      <c r="K11" s="18"/>
      <c r="L11" s="18"/>
      <c r="M11" s="18"/>
      <c r="N11" s="232"/>
      <c r="P11" s="35" t="s">
        <v>70</v>
      </c>
      <c r="Q11" s="231"/>
      <c r="R11" s="18"/>
      <c r="S11" s="18"/>
      <c r="T11" s="18"/>
      <c r="U11" s="18"/>
      <c r="V11" s="18"/>
      <c r="W11" s="18"/>
      <c r="X11" s="18"/>
      <c r="Y11" s="18"/>
      <c r="Z11" s="18"/>
      <c r="AA11" s="18"/>
      <c r="AB11" s="232"/>
      <c r="AD11" s="35" t="s">
        <v>70</v>
      </c>
      <c r="AE11" s="231"/>
      <c r="AF11" s="18"/>
      <c r="AG11" s="18"/>
      <c r="AH11" s="18"/>
      <c r="AI11" s="18"/>
      <c r="AJ11" s="18"/>
      <c r="AK11" s="18"/>
      <c r="AL11" s="18"/>
      <c r="AM11" s="18"/>
      <c r="AN11" s="18"/>
      <c r="AO11" s="18"/>
      <c r="AP11" s="232"/>
      <c r="AR11" s="35" t="s">
        <v>70</v>
      </c>
      <c r="AS11" s="231"/>
      <c r="AT11" s="18"/>
      <c r="AU11" s="18"/>
      <c r="AV11" s="18"/>
      <c r="AW11" s="18"/>
      <c r="AX11" s="18"/>
      <c r="AY11" s="18"/>
      <c r="AZ11" s="18"/>
      <c r="BA11" s="18"/>
      <c r="BB11" s="18"/>
      <c r="BC11" s="18"/>
      <c r="BD11" s="232"/>
    </row>
    <row r="12" spans="2:56" ht="19.5" customHeight="1">
      <c r="B12" s="11"/>
      <c r="C12" s="233">
        <f>SUM(C9:C11)</f>
        <v>0</v>
      </c>
      <c r="D12" s="20">
        <f aca="true" t="shared" si="0" ref="D12:N12">SUM(D9:D11)</f>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34">
        <f t="shared" si="0"/>
        <v>0</v>
      </c>
      <c r="P12" s="11"/>
      <c r="Q12" s="233">
        <f>SUM(Q9:Q11)</f>
        <v>0</v>
      </c>
      <c r="R12" s="20">
        <f aca="true" t="shared" si="1" ref="R12:AB12">SUM(R9:R11)</f>
        <v>0</v>
      </c>
      <c r="S12" s="20">
        <f t="shared" si="1"/>
        <v>0</v>
      </c>
      <c r="T12" s="20">
        <f t="shared" si="1"/>
        <v>0</v>
      </c>
      <c r="U12" s="20">
        <f t="shared" si="1"/>
        <v>0</v>
      </c>
      <c r="V12" s="20">
        <f t="shared" si="1"/>
        <v>0</v>
      </c>
      <c r="W12" s="20">
        <f t="shared" si="1"/>
        <v>0</v>
      </c>
      <c r="X12" s="20">
        <f t="shared" si="1"/>
        <v>0</v>
      </c>
      <c r="Y12" s="20">
        <f t="shared" si="1"/>
        <v>0</v>
      </c>
      <c r="Z12" s="20">
        <f t="shared" si="1"/>
        <v>0</v>
      </c>
      <c r="AA12" s="20">
        <f t="shared" si="1"/>
        <v>0</v>
      </c>
      <c r="AB12" s="234">
        <f t="shared" si="1"/>
        <v>0</v>
      </c>
      <c r="AD12" s="11"/>
      <c r="AE12" s="233">
        <f>SUM(AE9:AE11)</f>
        <v>0</v>
      </c>
      <c r="AF12" s="20">
        <f aca="true" t="shared" si="2" ref="AF12:AP12">SUM(AF9:AF11)</f>
        <v>0</v>
      </c>
      <c r="AG12" s="20">
        <f t="shared" si="2"/>
        <v>0</v>
      </c>
      <c r="AH12" s="20">
        <f t="shared" si="2"/>
        <v>0</v>
      </c>
      <c r="AI12" s="20">
        <f t="shared" si="2"/>
        <v>0</v>
      </c>
      <c r="AJ12" s="20">
        <f t="shared" si="2"/>
        <v>0</v>
      </c>
      <c r="AK12" s="20">
        <f t="shared" si="2"/>
        <v>0</v>
      </c>
      <c r="AL12" s="20">
        <f t="shared" si="2"/>
        <v>0</v>
      </c>
      <c r="AM12" s="20">
        <f t="shared" si="2"/>
        <v>0</v>
      </c>
      <c r="AN12" s="20">
        <f t="shared" si="2"/>
        <v>0</v>
      </c>
      <c r="AO12" s="20">
        <f t="shared" si="2"/>
        <v>0</v>
      </c>
      <c r="AP12" s="234">
        <f t="shared" si="2"/>
        <v>0</v>
      </c>
      <c r="AR12" s="11"/>
      <c r="AS12" s="233">
        <f>SUM(AS9:AS11)</f>
        <v>0</v>
      </c>
      <c r="AT12" s="20">
        <f aca="true" t="shared" si="3" ref="AT12:BD12">SUM(AT9:AT11)</f>
        <v>0</v>
      </c>
      <c r="AU12" s="20">
        <f t="shared" si="3"/>
        <v>0</v>
      </c>
      <c r="AV12" s="20">
        <f t="shared" si="3"/>
        <v>0</v>
      </c>
      <c r="AW12" s="20">
        <f t="shared" si="3"/>
        <v>0</v>
      </c>
      <c r="AX12" s="20">
        <f t="shared" si="3"/>
        <v>0</v>
      </c>
      <c r="AY12" s="20">
        <f t="shared" si="3"/>
        <v>0</v>
      </c>
      <c r="AZ12" s="20">
        <f t="shared" si="3"/>
        <v>0</v>
      </c>
      <c r="BA12" s="20">
        <f t="shared" si="3"/>
        <v>0</v>
      </c>
      <c r="BB12" s="20">
        <f t="shared" si="3"/>
        <v>0</v>
      </c>
      <c r="BC12" s="20">
        <f t="shared" si="3"/>
        <v>0</v>
      </c>
      <c r="BD12" s="234">
        <f t="shared" si="3"/>
        <v>0</v>
      </c>
    </row>
    <row r="13" spans="2:56" ht="27.75" customHeight="1">
      <c r="B13" s="220" t="s">
        <v>71</v>
      </c>
      <c r="C13" s="235"/>
      <c r="D13" s="21"/>
      <c r="E13" s="21"/>
      <c r="F13" s="21"/>
      <c r="G13" s="21"/>
      <c r="H13" s="21"/>
      <c r="I13" s="21"/>
      <c r="J13" s="21"/>
      <c r="K13" s="21"/>
      <c r="L13" s="21"/>
      <c r="M13" s="21"/>
      <c r="N13" s="236"/>
      <c r="P13" s="220" t="s">
        <v>71</v>
      </c>
      <c r="Q13" s="235"/>
      <c r="R13" s="21"/>
      <c r="S13" s="21"/>
      <c r="T13" s="21"/>
      <c r="U13" s="21"/>
      <c r="V13" s="21"/>
      <c r="W13" s="21"/>
      <c r="X13" s="21"/>
      <c r="Y13" s="21"/>
      <c r="Z13" s="21"/>
      <c r="AA13" s="21"/>
      <c r="AB13" s="236"/>
      <c r="AD13" s="220" t="s">
        <v>71</v>
      </c>
      <c r="AE13" s="235"/>
      <c r="AF13" s="21"/>
      <c r="AG13" s="21"/>
      <c r="AH13" s="21"/>
      <c r="AI13" s="21"/>
      <c r="AJ13" s="21"/>
      <c r="AK13" s="21"/>
      <c r="AL13" s="21"/>
      <c r="AM13" s="21"/>
      <c r="AN13" s="21"/>
      <c r="AO13" s="21"/>
      <c r="AP13" s="236"/>
      <c r="AR13" s="220" t="s">
        <v>71</v>
      </c>
      <c r="AS13" s="235"/>
      <c r="AT13" s="21"/>
      <c r="AU13" s="21"/>
      <c r="AV13" s="21"/>
      <c r="AW13" s="21"/>
      <c r="AX13" s="21"/>
      <c r="AY13" s="21"/>
      <c r="AZ13" s="21"/>
      <c r="BA13" s="21"/>
      <c r="BB13" s="21"/>
      <c r="BC13" s="21"/>
      <c r="BD13" s="236"/>
    </row>
    <row r="14" spans="2:56" ht="27.75" customHeight="1">
      <c r="B14" s="35" t="s">
        <v>72</v>
      </c>
      <c r="C14" s="237"/>
      <c r="D14" s="22"/>
      <c r="E14" s="22"/>
      <c r="F14" s="22"/>
      <c r="G14" s="22"/>
      <c r="H14" s="22"/>
      <c r="I14" s="22"/>
      <c r="J14" s="22"/>
      <c r="K14" s="22"/>
      <c r="L14" s="22"/>
      <c r="M14" s="22"/>
      <c r="N14" s="238"/>
      <c r="P14" s="35" t="s">
        <v>72</v>
      </c>
      <c r="Q14" s="237"/>
      <c r="R14" s="22"/>
      <c r="S14" s="22"/>
      <c r="T14" s="22"/>
      <c r="U14" s="22"/>
      <c r="V14" s="22"/>
      <c r="W14" s="22"/>
      <c r="X14" s="22"/>
      <c r="Y14" s="22"/>
      <c r="Z14" s="22"/>
      <c r="AA14" s="22"/>
      <c r="AB14" s="238"/>
      <c r="AD14" s="35" t="s">
        <v>72</v>
      </c>
      <c r="AE14" s="237"/>
      <c r="AF14" s="22"/>
      <c r="AG14" s="22"/>
      <c r="AH14" s="22"/>
      <c r="AI14" s="22"/>
      <c r="AJ14" s="22"/>
      <c r="AK14" s="22"/>
      <c r="AL14" s="22"/>
      <c r="AM14" s="22"/>
      <c r="AN14" s="22"/>
      <c r="AO14" s="22"/>
      <c r="AP14" s="238"/>
      <c r="AR14" s="35" t="s">
        <v>72</v>
      </c>
      <c r="AS14" s="237"/>
      <c r="AT14" s="22"/>
      <c r="AU14" s="22"/>
      <c r="AV14" s="22"/>
      <c r="AW14" s="22"/>
      <c r="AX14" s="22"/>
      <c r="AY14" s="22"/>
      <c r="AZ14" s="22"/>
      <c r="BA14" s="22"/>
      <c r="BB14" s="22"/>
      <c r="BC14" s="22"/>
      <c r="BD14" s="238"/>
    </row>
    <row r="15" spans="2:56" ht="19.5" customHeight="1">
      <c r="B15" s="11"/>
      <c r="C15" s="239">
        <f>SUM(C13:C14)</f>
        <v>0</v>
      </c>
      <c r="D15" s="23">
        <f aca="true" t="shared" si="4" ref="D15:N15">SUM(D13:D14)</f>
        <v>0</v>
      </c>
      <c r="E15" s="23">
        <f t="shared" si="4"/>
        <v>0</v>
      </c>
      <c r="F15" s="23">
        <f t="shared" si="4"/>
        <v>0</v>
      </c>
      <c r="G15" s="23">
        <f t="shared" si="4"/>
        <v>0</v>
      </c>
      <c r="H15" s="23">
        <f t="shared" si="4"/>
        <v>0</v>
      </c>
      <c r="I15" s="23">
        <f t="shared" si="4"/>
        <v>0</v>
      </c>
      <c r="J15" s="23">
        <f t="shared" si="4"/>
        <v>0</v>
      </c>
      <c r="K15" s="23">
        <f t="shared" si="4"/>
        <v>0</v>
      </c>
      <c r="L15" s="23">
        <f t="shared" si="4"/>
        <v>0</v>
      </c>
      <c r="M15" s="23">
        <f t="shared" si="4"/>
        <v>0</v>
      </c>
      <c r="N15" s="240">
        <f t="shared" si="4"/>
        <v>0</v>
      </c>
      <c r="P15" s="11"/>
      <c r="Q15" s="239">
        <f>SUM(Q13:Q14)</f>
        <v>0</v>
      </c>
      <c r="R15" s="23">
        <f aca="true" t="shared" si="5" ref="R15:AB15">SUM(R13:R14)</f>
        <v>0</v>
      </c>
      <c r="S15" s="23">
        <f t="shared" si="5"/>
        <v>0</v>
      </c>
      <c r="T15" s="23">
        <f t="shared" si="5"/>
        <v>0</v>
      </c>
      <c r="U15" s="23">
        <f t="shared" si="5"/>
        <v>0</v>
      </c>
      <c r="V15" s="23">
        <f t="shared" si="5"/>
        <v>0</v>
      </c>
      <c r="W15" s="23">
        <f t="shared" si="5"/>
        <v>0</v>
      </c>
      <c r="X15" s="23">
        <f t="shared" si="5"/>
        <v>0</v>
      </c>
      <c r="Y15" s="23">
        <f t="shared" si="5"/>
        <v>0</v>
      </c>
      <c r="Z15" s="23">
        <f t="shared" si="5"/>
        <v>0</v>
      </c>
      <c r="AA15" s="23">
        <f t="shared" si="5"/>
        <v>0</v>
      </c>
      <c r="AB15" s="240">
        <f t="shared" si="5"/>
        <v>0</v>
      </c>
      <c r="AD15" s="11"/>
      <c r="AE15" s="239">
        <f>SUM(AE13:AE14)</f>
        <v>0</v>
      </c>
      <c r="AF15" s="23">
        <f aca="true" t="shared" si="6" ref="AF15:AP15">SUM(AF13:AF14)</f>
        <v>0</v>
      </c>
      <c r="AG15" s="23">
        <f t="shared" si="6"/>
        <v>0</v>
      </c>
      <c r="AH15" s="23">
        <f t="shared" si="6"/>
        <v>0</v>
      </c>
      <c r="AI15" s="23">
        <f t="shared" si="6"/>
        <v>0</v>
      </c>
      <c r="AJ15" s="23">
        <f t="shared" si="6"/>
        <v>0</v>
      </c>
      <c r="AK15" s="23">
        <f t="shared" si="6"/>
        <v>0</v>
      </c>
      <c r="AL15" s="23">
        <f t="shared" si="6"/>
        <v>0</v>
      </c>
      <c r="AM15" s="23">
        <f t="shared" si="6"/>
        <v>0</v>
      </c>
      <c r="AN15" s="23">
        <f t="shared" si="6"/>
        <v>0</v>
      </c>
      <c r="AO15" s="23">
        <f t="shared" si="6"/>
        <v>0</v>
      </c>
      <c r="AP15" s="240">
        <f t="shared" si="6"/>
        <v>0</v>
      </c>
      <c r="AR15" s="11"/>
      <c r="AS15" s="239">
        <f>SUM(AS13:AS14)</f>
        <v>0</v>
      </c>
      <c r="AT15" s="23">
        <f aca="true" t="shared" si="7" ref="AT15:BD15">SUM(AT13:AT14)</f>
        <v>0</v>
      </c>
      <c r="AU15" s="23">
        <f t="shared" si="7"/>
        <v>0</v>
      </c>
      <c r="AV15" s="23">
        <f t="shared" si="7"/>
        <v>0</v>
      </c>
      <c r="AW15" s="23">
        <f t="shared" si="7"/>
        <v>0</v>
      </c>
      <c r="AX15" s="23">
        <f t="shared" si="7"/>
        <v>0</v>
      </c>
      <c r="AY15" s="23">
        <f t="shared" si="7"/>
        <v>0</v>
      </c>
      <c r="AZ15" s="23">
        <f t="shared" si="7"/>
        <v>0</v>
      </c>
      <c r="BA15" s="23">
        <f t="shared" si="7"/>
        <v>0</v>
      </c>
      <c r="BB15" s="23">
        <f t="shared" si="7"/>
        <v>0</v>
      </c>
      <c r="BC15" s="23">
        <f t="shared" si="7"/>
        <v>0</v>
      </c>
      <c r="BD15" s="240">
        <f t="shared" si="7"/>
        <v>0</v>
      </c>
    </row>
    <row r="16" spans="2:56" ht="19.5" customHeight="1">
      <c r="B16" s="221" t="s">
        <v>73</v>
      </c>
      <c r="C16" s="241">
        <v>0</v>
      </c>
      <c r="D16" s="24">
        <v>0</v>
      </c>
      <c r="E16" s="24">
        <v>0</v>
      </c>
      <c r="F16" s="24">
        <v>0</v>
      </c>
      <c r="G16" s="24">
        <v>0</v>
      </c>
      <c r="H16" s="24">
        <v>0</v>
      </c>
      <c r="I16" s="24">
        <v>0</v>
      </c>
      <c r="J16" s="24">
        <v>0</v>
      </c>
      <c r="K16" s="24">
        <v>0</v>
      </c>
      <c r="L16" s="24">
        <v>0</v>
      </c>
      <c r="M16" s="24">
        <v>0</v>
      </c>
      <c r="N16" s="242">
        <v>0</v>
      </c>
      <c r="P16" s="221" t="s">
        <v>73</v>
      </c>
      <c r="Q16" s="241">
        <v>0</v>
      </c>
      <c r="R16" s="24">
        <v>0</v>
      </c>
      <c r="S16" s="24">
        <v>0</v>
      </c>
      <c r="T16" s="24">
        <v>0</v>
      </c>
      <c r="U16" s="24">
        <v>0</v>
      </c>
      <c r="V16" s="24">
        <v>0</v>
      </c>
      <c r="W16" s="24">
        <v>0</v>
      </c>
      <c r="X16" s="24">
        <v>0</v>
      </c>
      <c r="Y16" s="24">
        <v>0</v>
      </c>
      <c r="Z16" s="24">
        <v>0</v>
      </c>
      <c r="AA16" s="24">
        <v>0</v>
      </c>
      <c r="AB16" s="242">
        <v>0</v>
      </c>
      <c r="AD16" s="221" t="s">
        <v>73</v>
      </c>
      <c r="AE16" s="241">
        <v>0</v>
      </c>
      <c r="AF16" s="24">
        <v>0</v>
      </c>
      <c r="AG16" s="24">
        <v>0</v>
      </c>
      <c r="AH16" s="24">
        <v>0</v>
      </c>
      <c r="AI16" s="24">
        <v>0</v>
      </c>
      <c r="AJ16" s="24">
        <v>0</v>
      </c>
      <c r="AK16" s="24">
        <v>0</v>
      </c>
      <c r="AL16" s="24">
        <v>0</v>
      </c>
      <c r="AM16" s="24">
        <v>0</v>
      </c>
      <c r="AN16" s="24">
        <v>0</v>
      </c>
      <c r="AO16" s="24">
        <v>0</v>
      </c>
      <c r="AP16" s="242">
        <v>0</v>
      </c>
      <c r="AR16" s="221" t="s">
        <v>73</v>
      </c>
      <c r="AS16" s="241">
        <v>0</v>
      </c>
      <c r="AT16" s="24">
        <v>0</v>
      </c>
      <c r="AU16" s="24">
        <v>0</v>
      </c>
      <c r="AV16" s="24">
        <v>0</v>
      </c>
      <c r="AW16" s="24">
        <v>0</v>
      </c>
      <c r="AX16" s="24">
        <v>0</v>
      </c>
      <c r="AY16" s="24">
        <v>0</v>
      </c>
      <c r="AZ16" s="24">
        <v>0</v>
      </c>
      <c r="BA16" s="24">
        <v>0</v>
      </c>
      <c r="BB16" s="24">
        <v>0</v>
      </c>
      <c r="BC16" s="24">
        <v>0</v>
      </c>
      <c r="BD16" s="242">
        <v>0</v>
      </c>
    </row>
    <row r="17" spans="2:56" s="265" customFormat="1" ht="19.5" customHeight="1">
      <c r="B17" s="293" t="s">
        <v>74</v>
      </c>
      <c r="C17" s="670"/>
      <c r="D17" s="671"/>
      <c r="E17" s="671"/>
      <c r="F17" s="671"/>
      <c r="G17" s="671"/>
      <c r="H17" s="671"/>
      <c r="I17" s="671"/>
      <c r="J17" s="671"/>
      <c r="K17" s="671"/>
      <c r="L17" s="671"/>
      <c r="M17" s="671"/>
      <c r="N17" s="672"/>
      <c r="P17" s="293" t="s">
        <v>74</v>
      </c>
      <c r="Q17" s="670"/>
      <c r="R17" s="671"/>
      <c r="S17" s="671"/>
      <c r="T17" s="671"/>
      <c r="U17" s="671"/>
      <c r="V17" s="671"/>
      <c r="W17" s="671"/>
      <c r="X17" s="671"/>
      <c r="Y17" s="671"/>
      <c r="Z17" s="671"/>
      <c r="AA17" s="671"/>
      <c r="AB17" s="672"/>
      <c r="AD17" s="293" t="s">
        <v>74</v>
      </c>
      <c r="AE17" s="670"/>
      <c r="AF17" s="671"/>
      <c r="AG17" s="671"/>
      <c r="AH17" s="671"/>
      <c r="AI17" s="671"/>
      <c r="AJ17" s="671"/>
      <c r="AK17" s="671"/>
      <c r="AL17" s="671"/>
      <c r="AM17" s="671"/>
      <c r="AN17" s="671"/>
      <c r="AO17" s="671"/>
      <c r="AP17" s="672"/>
      <c r="AR17" s="293" t="s">
        <v>74</v>
      </c>
      <c r="AS17" s="670"/>
      <c r="AT17" s="671"/>
      <c r="AU17" s="671"/>
      <c r="AV17" s="671"/>
      <c r="AW17" s="671"/>
      <c r="AX17" s="671"/>
      <c r="AY17" s="671"/>
      <c r="AZ17" s="671"/>
      <c r="BA17" s="671"/>
      <c r="BB17" s="671"/>
      <c r="BC17" s="671"/>
      <c r="BD17" s="672"/>
    </row>
    <row r="18" spans="2:56" ht="19.5" customHeight="1">
      <c r="B18" s="222" t="s">
        <v>75</v>
      </c>
      <c r="C18" s="243">
        <v>0</v>
      </c>
      <c r="D18" s="15">
        <f>C23</f>
        <v>0</v>
      </c>
      <c r="E18" s="15">
        <f>D23</f>
        <v>0</v>
      </c>
      <c r="F18" s="15">
        <f>E23</f>
        <v>0</v>
      </c>
      <c r="G18" s="15">
        <f>F23</f>
        <v>0</v>
      </c>
      <c r="H18" s="15">
        <f>G23</f>
        <v>0</v>
      </c>
      <c r="I18" s="15">
        <f aca="true" t="shared" si="8" ref="I18:N18">H23</f>
        <v>0</v>
      </c>
      <c r="J18" s="15">
        <f t="shared" si="8"/>
        <v>0</v>
      </c>
      <c r="K18" s="15">
        <f t="shared" si="8"/>
        <v>0</v>
      </c>
      <c r="L18" s="15">
        <f t="shared" si="8"/>
        <v>0</v>
      </c>
      <c r="M18" s="15">
        <f t="shared" si="8"/>
        <v>0</v>
      </c>
      <c r="N18" s="244">
        <f t="shared" si="8"/>
        <v>0</v>
      </c>
      <c r="P18" s="222" t="s">
        <v>75</v>
      </c>
      <c r="Q18" s="243">
        <v>0</v>
      </c>
      <c r="R18" s="15">
        <f aca="true" t="shared" si="9" ref="R18:AB18">Q23</f>
        <v>0</v>
      </c>
      <c r="S18" s="15">
        <f t="shared" si="9"/>
        <v>0</v>
      </c>
      <c r="T18" s="15">
        <f t="shared" si="9"/>
        <v>0</v>
      </c>
      <c r="U18" s="15">
        <f t="shared" si="9"/>
        <v>0</v>
      </c>
      <c r="V18" s="15">
        <f t="shared" si="9"/>
        <v>0</v>
      </c>
      <c r="W18" s="15">
        <f t="shared" si="9"/>
        <v>0</v>
      </c>
      <c r="X18" s="15">
        <f t="shared" si="9"/>
        <v>0</v>
      </c>
      <c r="Y18" s="15">
        <f t="shared" si="9"/>
        <v>0</v>
      </c>
      <c r="Z18" s="15">
        <f t="shared" si="9"/>
        <v>0</v>
      </c>
      <c r="AA18" s="15">
        <f t="shared" si="9"/>
        <v>0</v>
      </c>
      <c r="AB18" s="244">
        <f t="shared" si="9"/>
        <v>0</v>
      </c>
      <c r="AD18" s="222" t="s">
        <v>75</v>
      </c>
      <c r="AE18" s="243">
        <v>0</v>
      </c>
      <c r="AF18" s="15">
        <f aca="true" t="shared" si="10" ref="AF18:AP18">AE23</f>
        <v>0</v>
      </c>
      <c r="AG18" s="15">
        <f t="shared" si="10"/>
        <v>0</v>
      </c>
      <c r="AH18" s="15">
        <f t="shared" si="10"/>
        <v>0</v>
      </c>
      <c r="AI18" s="15">
        <f t="shared" si="10"/>
        <v>0</v>
      </c>
      <c r="AJ18" s="15">
        <f t="shared" si="10"/>
        <v>0</v>
      </c>
      <c r="AK18" s="15">
        <f t="shared" si="10"/>
        <v>0</v>
      </c>
      <c r="AL18" s="15">
        <f t="shared" si="10"/>
        <v>0</v>
      </c>
      <c r="AM18" s="15">
        <f t="shared" si="10"/>
        <v>0</v>
      </c>
      <c r="AN18" s="15">
        <f t="shared" si="10"/>
        <v>0</v>
      </c>
      <c r="AO18" s="15">
        <f t="shared" si="10"/>
        <v>0</v>
      </c>
      <c r="AP18" s="244">
        <f t="shared" si="10"/>
        <v>0</v>
      </c>
      <c r="AR18" s="222" t="s">
        <v>75</v>
      </c>
      <c r="AS18" s="243">
        <v>0</v>
      </c>
      <c r="AT18" s="15">
        <f aca="true" t="shared" si="11" ref="AT18:BD18">AS23</f>
        <v>0</v>
      </c>
      <c r="AU18" s="15">
        <f t="shared" si="11"/>
        <v>0</v>
      </c>
      <c r="AV18" s="15">
        <f t="shared" si="11"/>
        <v>0</v>
      </c>
      <c r="AW18" s="15">
        <f t="shared" si="11"/>
        <v>0</v>
      </c>
      <c r="AX18" s="15">
        <f t="shared" si="11"/>
        <v>0</v>
      </c>
      <c r="AY18" s="15">
        <f t="shared" si="11"/>
        <v>0</v>
      </c>
      <c r="AZ18" s="15">
        <f t="shared" si="11"/>
        <v>0</v>
      </c>
      <c r="BA18" s="15">
        <f t="shared" si="11"/>
        <v>0</v>
      </c>
      <c r="BB18" s="15">
        <f t="shared" si="11"/>
        <v>0</v>
      </c>
      <c r="BC18" s="15">
        <f t="shared" si="11"/>
        <v>0</v>
      </c>
      <c r="BD18" s="244">
        <f t="shared" si="11"/>
        <v>0</v>
      </c>
    </row>
    <row r="19" spans="2:56" ht="19.5" customHeight="1">
      <c r="B19" s="299" t="s">
        <v>139</v>
      </c>
      <c r="C19" s="301"/>
      <c r="D19" s="300">
        <f>IF(C24&gt;=0,C24,0)</f>
        <v>0</v>
      </c>
      <c r="E19" s="300">
        <f aca="true" t="shared" si="12" ref="E19:N19">IF(D24&gt;=0,D24,0)</f>
        <v>0</v>
      </c>
      <c r="F19" s="300">
        <f t="shared" si="12"/>
        <v>0</v>
      </c>
      <c r="G19" s="300">
        <f t="shared" si="12"/>
        <v>0</v>
      </c>
      <c r="H19" s="300">
        <f t="shared" si="12"/>
        <v>0</v>
      </c>
      <c r="I19" s="300">
        <f t="shared" si="12"/>
        <v>0</v>
      </c>
      <c r="J19" s="300">
        <f t="shared" si="12"/>
        <v>0</v>
      </c>
      <c r="K19" s="300">
        <f t="shared" si="12"/>
        <v>0</v>
      </c>
      <c r="L19" s="300">
        <f t="shared" si="12"/>
        <v>0</v>
      </c>
      <c r="M19" s="300">
        <f t="shared" si="12"/>
        <v>0</v>
      </c>
      <c r="N19" s="300">
        <f t="shared" si="12"/>
        <v>0</v>
      </c>
      <c r="P19" s="299"/>
      <c r="Q19" s="301"/>
      <c r="R19" s="300">
        <f aca="true" t="shared" si="13" ref="R19:AB19">IF(Q24&gt;=0,Q24,0)</f>
        <v>0</v>
      </c>
      <c r="S19" s="300">
        <f t="shared" si="13"/>
        <v>0</v>
      </c>
      <c r="T19" s="300">
        <f t="shared" si="13"/>
        <v>0</v>
      </c>
      <c r="U19" s="300">
        <f t="shared" si="13"/>
        <v>0</v>
      </c>
      <c r="V19" s="300">
        <f t="shared" si="13"/>
        <v>0</v>
      </c>
      <c r="W19" s="300">
        <f t="shared" si="13"/>
        <v>0</v>
      </c>
      <c r="X19" s="300">
        <f t="shared" si="13"/>
        <v>0</v>
      </c>
      <c r="Y19" s="300">
        <f t="shared" si="13"/>
        <v>0</v>
      </c>
      <c r="Z19" s="300">
        <f t="shared" si="13"/>
        <v>0</v>
      </c>
      <c r="AA19" s="300">
        <f t="shared" si="13"/>
        <v>0</v>
      </c>
      <c r="AB19" s="300">
        <f t="shared" si="13"/>
        <v>0</v>
      </c>
      <c r="AD19" s="299"/>
      <c r="AE19" s="301"/>
      <c r="AF19" s="300">
        <f aca="true" t="shared" si="14" ref="AF19:AP19">IF(AE24&gt;=0,AE24,0)</f>
        <v>0</v>
      </c>
      <c r="AG19" s="300">
        <f t="shared" si="14"/>
        <v>0</v>
      </c>
      <c r="AH19" s="300">
        <f t="shared" si="14"/>
        <v>0</v>
      </c>
      <c r="AI19" s="300">
        <f t="shared" si="14"/>
        <v>0</v>
      </c>
      <c r="AJ19" s="300">
        <f t="shared" si="14"/>
        <v>0</v>
      </c>
      <c r="AK19" s="300">
        <f t="shared" si="14"/>
        <v>0</v>
      </c>
      <c r="AL19" s="300">
        <f t="shared" si="14"/>
        <v>0</v>
      </c>
      <c r="AM19" s="300">
        <f t="shared" si="14"/>
        <v>0</v>
      </c>
      <c r="AN19" s="300">
        <f t="shared" si="14"/>
        <v>0</v>
      </c>
      <c r="AO19" s="300">
        <f t="shared" si="14"/>
        <v>0</v>
      </c>
      <c r="AP19" s="300">
        <f t="shared" si="14"/>
        <v>0</v>
      </c>
      <c r="AR19" s="299"/>
      <c r="AS19" s="301"/>
      <c r="AT19" s="300">
        <f aca="true" t="shared" si="15" ref="AT19:BD19">IF(AS24&gt;=0,AS24,0)</f>
        <v>0</v>
      </c>
      <c r="AU19" s="300">
        <f t="shared" si="15"/>
        <v>0</v>
      </c>
      <c r="AV19" s="300">
        <f t="shared" si="15"/>
        <v>0</v>
      </c>
      <c r="AW19" s="300">
        <f t="shared" si="15"/>
        <v>0</v>
      </c>
      <c r="AX19" s="300">
        <f t="shared" si="15"/>
        <v>0</v>
      </c>
      <c r="AY19" s="300">
        <f t="shared" si="15"/>
        <v>0</v>
      </c>
      <c r="AZ19" s="300">
        <f t="shared" si="15"/>
        <v>0</v>
      </c>
      <c r="BA19" s="300">
        <f t="shared" si="15"/>
        <v>0</v>
      </c>
      <c r="BB19" s="300">
        <f t="shared" si="15"/>
        <v>0</v>
      </c>
      <c r="BC19" s="300">
        <f t="shared" si="15"/>
        <v>0</v>
      </c>
      <c r="BD19" s="300">
        <f t="shared" si="15"/>
        <v>0</v>
      </c>
    </row>
    <row r="20" spans="2:56" ht="19.5" customHeight="1">
      <c r="B20" s="219" t="s">
        <v>76</v>
      </c>
      <c r="C20" s="245"/>
      <c r="D20" s="17"/>
      <c r="E20" s="17"/>
      <c r="F20" s="17"/>
      <c r="G20" s="17"/>
      <c r="H20" s="17"/>
      <c r="I20" s="17"/>
      <c r="J20" s="17"/>
      <c r="K20" s="17"/>
      <c r="L20" s="17"/>
      <c r="M20" s="17"/>
      <c r="N20" s="246"/>
      <c r="P20" s="219" t="s">
        <v>76</v>
      </c>
      <c r="Q20" s="245"/>
      <c r="R20" s="17"/>
      <c r="S20" s="17"/>
      <c r="T20" s="17"/>
      <c r="U20" s="17"/>
      <c r="V20" s="17"/>
      <c r="W20" s="17"/>
      <c r="X20" s="17"/>
      <c r="Y20" s="17"/>
      <c r="Z20" s="17"/>
      <c r="AA20" s="17"/>
      <c r="AB20" s="246"/>
      <c r="AD20" s="219" t="s">
        <v>76</v>
      </c>
      <c r="AE20" s="245"/>
      <c r="AF20" s="17"/>
      <c r="AG20" s="17"/>
      <c r="AH20" s="17"/>
      <c r="AI20" s="17"/>
      <c r="AJ20" s="17"/>
      <c r="AK20" s="17"/>
      <c r="AL20" s="17"/>
      <c r="AM20" s="17"/>
      <c r="AN20" s="17"/>
      <c r="AO20" s="17"/>
      <c r="AP20" s="246"/>
      <c r="AR20" s="219" t="s">
        <v>76</v>
      </c>
      <c r="AS20" s="245"/>
      <c r="AT20" s="17"/>
      <c r="AU20" s="17"/>
      <c r="AV20" s="17"/>
      <c r="AW20" s="17"/>
      <c r="AX20" s="17"/>
      <c r="AY20" s="17"/>
      <c r="AZ20" s="17"/>
      <c r="BA20" s="17"/>
      <c r="BB20" s="17"/>
      <c r="BC20" s="17"/>
      <c r="BD20" s="246"/>
    </row>
    <row r="21" spans="2:56" ht="19.5" customHeight="1">
      <c r="B21" s="35" t="s">
        <v>77</v>
      </c>
      <c r="C21" s="247"/>
      <c r="D21" s="19"/>
      <c r="E21" s="19"/>
      <c r="F21" s="19"/>
      <c r="G21" s="19"/>
      <c r="H21" s="19"/>
      <c r="I21" s="19"/>
      <c r="J21" s="19"/>
      <c r="K21" s="19"/>
      <c r="L21" s="19"/>
      <c r="M21" s="19"/>
      <c r="N21" s="248"/>
      <c r="P21" s="35" t="s">
        <v>77</v>
      </c>
      <c r="Q21" s="247"/>
      <c r="R21" s="19"/>
      <c r="S21" s="19"/>
      <c r="T21" s="19"/>
      <c r="U21" s="19"/>
      <c r="V21" s="19"/>
      <c r="W21" s="19"/>
      <c r="X21" s="19"/>
      <c r="Y21" s="19"/>
      <c r="Z21" s="19"/>
      <c r="AA21" s="19"/>
      <c r="AB21" s="248"/>
      <c r="AD21" s="35" t="s">
        <v>77</v>
      </c>
      <c r="AE21" s="247"/>
      <c r="AF21" s="19"/>
      <c r="AG21" s="19"/>
      <c r="AH21" s="19"/>
      <c r="AI21" s="19"/>
      <c r="AJ21" s="19"/>
      <c r="AK21" s="19"/>
      <c r="AL21" s="19"/>
      <c r="AM21" s="19"/>
      <c r="AN21" s="19"/>
      <c r="AO21" s="19"/>
      <c r="AP21" s="248"/>
      <c r="AR21" s="35" t="s">
        <v>77</v>
      </c>
      <c r="AS21" s="247"/>
      <c r="AT21" s="19"/>
      <c r="AU21" s="19"/>
      <c r="AV21" s="19"/>
      <c r="AW21" s="19"/>
      <c r="AX21" s="19"/>
      <c r="AY21" s="19"/>
      <c r="AZ21" s="19"/>
      <c r="BA21" s="19"/>
      <c r="BB21" s="19"/>
      <c r="BC21" s="19"/>
      <c r="BD21" s="248"/>
    </row>
    <row r="22" spans="2:56" ht="19.5" customHeight="1">
      <c r="B22" s="11"/>
      <c r="C22" s="249">
        <f>SUM(C18:C21)</f>
        <v>0</v>
      </c>
      <c r="D22" s="25">
        <f>SUM(D18:D21)</f>
        <v>0</v>
      </c>
      <c r="E22" s="25">
        <f>SUM(E18:E21)</f>
        <v>0</v>
      </c>
      <c r="F22" s="25">
        <f aca="true" t="shared" si="16" ref="F22:N22">SUM(F18:F21)</f>
        <v>0</v>
      </c>
      <c r="G22" s="25">
        <f t="shared" si="16"/>
        <v>0</v>
      </c>
      <c r="H22" s="25">
        <f t="shared" si="16"/>
        <v>0</v>
      </c>
      <c r="I22" s="25">
        <f t="shared" si="16"/>
        <v>0</v>
      </c>
      <c r="J22" s="25">
        <f t="shared" si="16"/>
        <v>0</v>
      </c>
      <c r="K22" s="25">
        <f t="shared" si="16"/>
        <v>0</v>
      </c>
      <c r="L22" s="25">
        <f t="shared" si="16"/>
        <v>0</v>
      </c>
      <c r="M22" s="25">
        <f t="shared" si="16"/>
        <v>0</v>
      </c>
      <c r="N22" s="250">
        <f t="shared" si="16"/>
        <v>0</v>
      </c>
      <c r="P22" s="11"/>
      <c r="Q22" s="249">
        <f>SUM(Q18:Q21)</f>
        <v>0</v>
      </c>
      <c r="R22" s="25">
        <f>SUM(R18:R21)</f>
        <v>0</v>
      </c>
      <c r="S22" s="25">
        <f>SUM(S18:S21)</f>
        <v>0</v>
      </c>
      <c r="T22" s="25">
        <f aca="true" t="shared" si="17" ref="T22:AB22">SUM(T18:T21)</f>
        <v>0</v>
      </c>
      <c r="U22" s="25">
        <f t="shared" si="17"/>
        <v>0</v>
      </c>
      <c r="V22" s="25">
        <f t="shared" si="17"/>
        <v>0</v>
      </c>
      <c r="W22" s="25">
        <f t="shared" si="17"/>
        <v>0</v>
      </c>
      <c r="X22" s="25">
        <f t="shared" si="17"/>
        <v>0</v>
      </c>
      <c r="Y22" s="25">
        <f t="shared" si="17"/>
        <v>0</v>
      </c>
      <c r="Z22" s="25">
        <f t="shared" si="17"/>
        <v>0</v>
      </c>
      <c r="AA22" s="25">
        <f t="shared" si="17"/>
        <v>0</v>
      </c>
      <c r="AB22" s="250">
        <f t="shared" si="17"/>
        <v>0</v>
      </c>
      <c r="AD22" s="11"/>
      <c r="AE22" s="249">
        <f>SUM(AE18:AE21)</f>
        <v>0</v>
      </c>
      <c r="AF22" s="25">
        <f>SUM(AF18:AF21)</f>
        <v>0</v>
      </c>
      <c r="AG22" s="25">
        <f>SUM(AG18:AG21)</f>
        <v>0</v>
      </c>
      <c r="AH22" s="25">
        <f aca="true" t="shared" si="18" ref="AH22:AP22">SUM(AH18:AH21)</f>
        <v>0</v>
      </c>
      <c r="AI22" s="25">
        <f t="shared" si="18"/>
        <v>0</v>
      </c>
      <c r="AJ22" s="25">
        <f t="shared" si="18"/>
        <v>0</v>
      </c>
      <c r="AK22" s="25">
        <f t="shared" si="18"/>
        <v>0</v>
      </c>
      <c r="AL22" s="25">
        <f t="shared" si="18"/>
        <v>0</v>
      </c>
      <c r="AM22" s="25">
        <f t="shared" si="18"/>
        <v>0</v>
      </c>
      <c r="AN22" s="25">
        <f t="shared" si="18"/>
        <v>0</v>
      </c>
      <c r="AO22" s="25">
        <f t="shared" si="18"/>
        <v>0</v>
      </c>
      <c r="AP22" s="250">
        <f t="shared" si="18"/>
        <v>0</v>
      </c>
      <c r="AR22" s="11"/>
      <c r="AS22" s="249">
        <f>SUM(AS18:AS21)</f>
        <v>0</v>
      </c>
      <c r="AT22" s="25">
        <f>SUM(AT18:AT21)</f>
        <v>0</v>
      </c>
      <c r="AU22" s="25">
        <f>SUM(AU18:AU21)</f>
        <v>0</v>
      </c>
      <c r="AV22" s="25">
        <f aca="true" t="shared" si="19" ref="AV22:BD22">SUM(AV18:AV21)</f>
        <v>0</v>
      </c>
      <c r="AW22" s="25">
        <f t="shared" si="19"/>
        <v>0</v>
      </c>
      <c r="AX22" s="25">
        <f t="shared" si="19"/>
        <v>0</v>
      </c>
      <c r="AY22" s="25">
        <f t="shared" si="19"/>
        <v>0</v>
      </c>
      <c r="AZ22" s="25">
        <f t="shared" si="19"/>
        <v>0</v>
      </c>
      <c r="BA22" s="25">
        <f t="shared" si="19"/>
        <v>0</v>
      </c>
      <c r="BB22" s="25">
        <f t="shared" si="19"/>
        <v>0</v>
      </c>
      <c r="BC22" s="25">
        <f t="shared" si="19"/>
        <v>0</v>
      </c>
      <c r="BD22" s="250">
        <f t="shared" si="19"/>
        <v>0</v>
      </c>
    </row>
    <row r="23" spans="2:56" ht="27.75" customHeight="1">
      <c r="B23" s="223" t="s">
        <v>78</v>
      </c>
      <c r="C23" s="251"/>
      <c r="D23" s="26"/>
      <c r="E23" s="26"/>
      <c r="F23" s="26"/>
      <c r="G23" s="26"/>
      <c r="H23" s="26"/>
      <c r="I23" s="26"/>
      <c r="J23" s="26"/>
      <c r="K23" s="26"/>
      <c r="L23" s="26"/>
      <c r="M23" s="26"/>
      <c r="N23" s="252"/>
      <c r="P23" s="223" t="s">
        <v>78</v>
      </c>
      <c r="Q23" s="251"/>
      <c r="R23" s="26"/>
      <c r="S23" s="26"/>
      <c r="T23" s="26"/>
      <c r="U23" s="26"/>
      <c r="V23" s="26"/>
      <c r="W23" s="26"/>
      <c r="X23" s="26"/>
      <c r="Y23" s="26"/>
      <c r="Z23" s="26"/>
      <c r="AA23" s="26"/>
      <c r="AB23" s="252"/>
      <c r="AD23" s="223" t="s">
        <v>78</v>
      </c>
      <c r="AE23" s="251"/>
      <c r="AF23" s="26"/>
      <c r="AG23" s="26"/>
      <c r="AH23" s="26"/>
      <c r="AI23" s="26"/>
      <c r="AJ23" s="26"/>
      <c r="AK23" s="26"/>
      <c r="AL23" s="26"/>
      <c r="AM23" s="26"/>
      <c r="AN23" s="26"/>
      <c r="AO23" s="26"/>
      <c r="AP23" s="252"/>
      <c r="AR23" s="223" t="s">
        <v>78</v>
      </c>
      <c r="AS23" s="251"/>
      <c r="AT23" s="26"/>
      <c r="AU23" s="26"/>
      <c r="AV23" s="26"/>
      <c r="AW23" s="26"/>
      <c r="AX23" s="26"/>
      <c r="AY23" s="26"/>
      <c r="AZ23" s="26"/>
      <c r="BA23" s="26"/>
      <c r="BB23" s="26"/>
      <c r="BC23" s="26"/>
      <c r="BD23" s="252"/>
    </row>
    <row r="24" spans="2:56" ht="19.5" customHeight="1">
      <c r="B24" s="224" t="s">
        <v>79</v>
      </c>
      <c r="C24" s="253">
        <f>C22-(C12+C15+C23)</f>
        <v>0</v>
      </c>
      <c r="D24" s="27">
        <f aca="true" t="shared" si="20" ref="D24:N24">D22-(D12+D15+D23)</f>
        <v>0</v>
      </c>
      <c r="E24" s="27">
        <f t="shared" si="20"/>
        <v>0</v>
      </c>
      <c r="F24" s="27">
        <f t="shared" si="20"/>
        <v>0</v>
      </c>
      <c r="G24" s="27">
        <f t="shared" si="20"/>
        <v>0</v>
      </c>
      <c r="H24" s="27">
        <f t="shared" si="20"/>
        <v>0</v>
      </c>
      <c r="I24" s="27">
        <f t="shared" si="20"/>
        <v>0</v>
      </c>
      <c r="J24" s="27">
        <f t="shared" si="20"/>
        <v>0</v>
      </c>
      <c r="K24" s="27">
        <f t="shared" si="20"/>
        <v>0</v>
      </c>
      <c r="L24" s="27">
        <f t="shared" si="20"/>
        <v>0</v>
      </c>
      <c r="M24" s="27">
        <f t="shared" si="20"/>
        <v>0</v>
      </c>
      <c r="N24" s="254">
        <f t="shared" si="20"/>
        <v>0</v>
      </c>
      <c r="P24" s="224" t="s">
        <v>79</v>
      </c>
      <c r="Q24" s="253">
        <f>Q22-(Q12+Q15+Q23)</f>
        <v>0</v>
      </c>
      <c r="R24" s="27">
        <f aca="true" t="shared" si="21" ref="R24:AB24">R22-(R12+R15+R23)</f>
        <v>0</v>
      </c>
      <c r="S24" s="27">
        <f t="shared" si="21"/>
        <v>0</v>
      </c>
      <c r="T24" s="27">
        <f t="shared" si="21"/>
        <v>0</v>
      </c>
      <c r="U24" s="27">
        <f t="shared" si="21"/>
        <v>0</v>
      </c>
      <c r="V24" s="27">
        <f t="shared" si="21"/>
        <v>0</v>
      </c>
      <c r="W24" s="27">
        <f t="shared" si="21"/>
        <v>0</v>
      </c>
      <c r="X24" s="27">
        <f t="shared" si="21"/>
        <v>0</v>
      </c>
      <c r="Y24" s="27">
        <f t="shared" si="21"/>
        <v>0</v>
      </c>
      <c r="Z24" s="27">
        <f t="shared" si="21"/>
        <v>0</v>
      </c>
      <c r="AA24" s="27">
        <f t="shared" si="21"/>
        <v>0</v>
      </c>
      <c r="AB24" s="254">
        <f t="shared" si="21"/>
        <v>0</v>
      </c>
      <c r="AD24" s="224" t="s">
        <v>79</v>
      </c>
      <c r="AE24" s="253">
        <f>AE22-(AE12+AE15+AE23)</f>
        <v>0</v>
      </c>
      <c r="AF24" s="27">
        <f aca="true" t="shared" si="22" ref="AF24:AP24">AF22-(AF12+AF15+AF23)</f>
        <v>0</v>
      </c>
      <c r="AG24" s="27">
        <f t="shared" si="22"/>
        <v>0</v>
      </c>
      <c r="AH24" s="27">
        <f t="shared" si="22"/>
        <v>0</v>
      </c>
      <c r="AI24" s="27">
        <f t="shared" si="22"/>
        <v>0</v>
      </c>
      <c r="AJ24" s="27">
        <f t="shared" si="22"/>
        <v>0</v>
      </c>
      <c r="AK24" s="27">
        <f t="shared" si="22"/>
        <v>0</v>
      </c>
      <c r="AL24" s="27">
        <f t="shared" si="22"/>
        <v>0</v>
      </c>
      <c r="AM24" s="27">
        <f t="shared" si="22"/>
        <v>0</v>
      </c>
      <c r="AN24" s="27">
        <f t="shared" si="22"/>
        <v>0</v>
      </c>
      <c r="AO24" s="27">
        <f t="shared" si="22"/>
        <v>0</v>
      </c>
      <c r="AP24" s="254">
        <f t="shared" si="22"/>
        <v>0</v>
      </c>
      <c r="AR24" s="224" t="s">
        <v>79</v>
      </c>
      <c r="AS24" s="253">
        <f>AS22-(AS12+AS15+AS23)</f>
        <v>0</v>
      </c>
      <c r="AT24" s="27">
        <f aca="true" t="shared" si="23" ref="AT24:BD24">AT22-(AT12+AT15+AT23)</f>
        <v>0</v>
      </c>
      <c r="AU24" s="27">
        <f t="shared" si="23"/>
        <v>0</v>
      </c>
      <c r="AV24" s="27">
        <f t="shared" si="23"/>
        <v>0</v>
      </c>
      <c r="AW24" s="27">
        <f t="shared" si="23"/>
        <v>0</v>
      </c>
      <c r="AX24" s="27">
        <f t="shared" si="23"/>
        <v>0</v>
      </c>
      <c r="AY24" s="27">
        <f t="shared" si="23"/>
        <v>0</v>
      </c>
      <c r="AZ24" s="27">
        <f t="shared" si="23"/>
        <v>0</v>
      </c>
      <c r="BA24" s="27">
        <f t="shared" si="23"/>
        <v>0</v>
      </c>
      <c r="BB24" s="27">
        <f t="shared" si="23"/>
        <v>0</v>
      </c>
      <c r="BC24" s="27">
        <f t="shared" si="23"/>
        <v>0</v>
      </c>
      <c r="BD24" s="254">
        <f t="shared" si="23"/>
        <v>0</v>
      </c>
    </row>
    <row r="25" spans="2:56" ht="19.5" customHeight="1">
      <c r="B25" s="28" t="s">
        <v>80</v>
      </c>
      <c r="C25" s="255">
        <f>-IF(C24&lt;=0,C24,0)</f>
        <v>0</v>
      </c>
      <c r="D25" s="29">
        <f aca="true" t="shared" si="24" ref="D25:N25">-IF(D24&lt;=0,D24,0)</f>
        <v>0</v>
      </c>
      <c r="E25" s="29">
        <f t="shared" si="24"/>
        <v>0</v>
      </c>
      <c r="F25" s="29">
        <f t="shared" si="24"/>
        <v>0</v>
      </c>
      <c r="G25" s="29">
        <f t="shared" si="24"/>
        <v>0</v>
      </c>
      <c r="H25" s="29">
        <f t="shared" si="24"/>
        <v>0</v>
      </c>
      <c r="I25" s="29">
        <f t="shared" si="24"/>
        <v>0</v>
      </c>
      <c r="J25" s="29">
        <f t="shared" si="24"/>
        <v>0</v>
      </c>
      <c r="K25" s="29">
        <f t="shared" si="24"/>
        <v>0</v>
      </c>
      <c r="L25" s="29">
        <f t="shared" si="24"/>
        <v>0</v>
      </c>
      <c r="M25" s="29">
        <f t="shared" si="24"/>
        <v>0</v>
      </c>
      <c r="N25" s="256">
        <f t="shared" si="24"/>
        <v>0</v>
      </c>
      <c r="P25" s="28" t="s">
        <v>80</v>
      </c>
      <c r="Q25" s="255">
        <f>-IF(Q24&lt;=0,Q24,0)</f>
        <v>0</v>
      </c>
      <c r="R25" s="29">
        <f aca="true" t="shared" si="25" ref="R25:AB25">-IF(R24&lt;=0,R24,0)</f>
        <v>0</v>
      </c>
      <c r="S25" s="29">
        <f t="shared" si="25"/>
        <v>0</v>
      </c>
      <c r="T25" s="29">
        <f t="shared" si="25"/>
        <v>0</v>
      </c>
      <c r="U25" s="29">
        <f t="shared" si="25"/>
        <v>0</v>
      </c>
      <c r="V25" s="29">
        <f t="shared" si="25"/>
        <v>0</v>
      </c>
      <c r="W25" s="29">
        <f t="shared" si="25"/>
        <v>0</v>
      </c>
      <c r="X25" s="29">
        <f t="shared" si="25"/>
        <v>0</v>
      </c>
      <c r="Y25" s="29">
        <f t="shared" si="25"/>
        <v>0</v>
      </c>
      <c r="Z25" s="29">
        <f t="shared" si="25"/>
        <v>0</v>
      </c>
      <c r="AA25" s="29">
        <f t="shared" si="25"/>
        <v>0</v>
      </c>
      <c r="AB25" s="256">
        <f t="shared" si="25"/>
        <v>0</v>
      </c>
      <c r="AD25" s="28" t="s">
        <v>80</v>
      </c>
      <c r="AE25" s="255">
        <f>-IF(AE24&lt;=0,AE24,0)</f>
        <v>0</v>
      </c>
      <c r="AF25" s="29">
        <f aca="true" t="shared" si="26" ref="AF25:AP25">-IF(AF24&lt;=0,AF24,0)</f>
        <v>0</v>
      </c>
      <c r="AG25" s="29">
        <f t="shared" si="26"/>
        <v>0</v>
      </c>
      <c r="AH25" s="29">
        <f t="shared" si="26"/>
        <v>0</v>
      </c>
      <c r="AI25" s="29">
        <f t="shared" si="26"/>
        <v>0</v>
      </c>
      <c r="AJ25" s="29">
        <f t="shared" si="26"/>
        <v>0</v>
      </c>
      <c r="AK25" s="29">
        <f t="shared" si="26"/>
        <v>0</v>
      </c>
      <c r="AL25" s="29">
        <f t="shared" si="26"/>
        <v>0</v>
      </c>
      <c r="AM25" s="29">
        <f t="shared" si="26"/>
        <v>0</v>
      </c>
      <c r="AN25" s="29">
        <f t="shared" si="26"/>
        <v>0</v>
      </c>
      <c r="AO25" s="29">
        <f t="shared" si="26"/>
        <v>0</v>
      </c>
      <c r="AP25" s="256">
        <f t="shared" si="26"/>
        <v>0</v>
      </c>
      <c r="AR25" s="28" t="s">
        <v>80</v>
      </c>
      <c r="AS25" s="255">
        <f>-IF(AS24&lt;=0,AS24,0)</f>
        <v>0</v>
      </c>
      <c r="AT25" s="29">
        <f aca="true" t="shared" si="27" ref="AT25:BD25">-IF(AT24&lt;=0,AT24,0)</f>
        <v>0</v>
      </c>
      <c r="AU25" s="29">
        <f t="shared" si="27"/>
        <v>0</v>
      </c>
      <c r="AV25" s="29">
        <f t="shared" si="27"/>
        <v>0</v>
      </c>
      <c r="AW25" s="29">
        <f t="shared" si="27"/>
        <v>0</v>
      </c>
      <c r="AX25" s="29">
        <f t="shared" si="27"/>
        <v>0</v>
      </c>
      <c r="AY25" s="29">
        <f t="shared" si="27"/>
        <v>0</v>
      </c>
      <c r="AZ25" s="29">
        <f t="shared" si="27"/>
        <v>0</v>
      </c>
      <c r="BA25" s="29">
        <f t="shared" si="27"/>
        <v>0</v>
      </c>
      <c r="BB25" s="29">
        <f t="shared" si="27"/>
        <v>0</v>
      </c>
      <c r="BC25" s="29">
        <f t="shared" si="27"/>
        <v>0</v>
      </c>
      <c r="BD25" s="256">
        <f t="shared" si="27"/>
        <v>0</v>
      </c>
    </row>
    <row r="26" spans="2:56" ht="19.5" customHeight="1">
      <c r="B26" s="30" t="s">
        <v>81</v>
      </c>
      <c r="C26" s="257">
        <v>0</v>
      </c>
      <c r="D26" s="31">
        <v>0</v>
      </c>
      <c r="E26" s="31">
        <v>0</v>
      </c>
      <c r="F26" s="31">
        <v>0</v>
      </c>
      <c r="G26" s="32">
        <v>0</v>
      </c>
      <c r="H26" s="32">
        <v>0</v>
      </c>
      <c r="I26" s="32">
        <v>0</v>
      </c>
      <c r="J26" s="32">
        <v>0</v>
      </c>
      <c r="K26" s="32">
        <v>0</v>
      </c>
      <c r="L26" s="32">
        <v>0</v>
      </c>
      <c r="M26" s="32">
        <v>0</v>
      </c>
      <c r="N26" s="258">
        <v>0</v>
      </c>
      <c r="P26" s="30" t="s">
        <v>81</v>
      </c>
      <c r="Q26" s="257">
        <v>0</v>
      </c>
      <c r="R26" s="31">
        <v>0</v>
      </c>
      <c r="S26" s="31">
        <v>0</v>
      </c>
      <c r="T26" s="31">
        <v>0</v>
      </c>
      <c r="U26" s="32">
        <v>0</v>
      </c>
      <c r="V26" s="32">
        <v>0</v>
      </c>
      <c r="W26" s="32">
        <v>0</v>
      </c>
      <c r="X26" s="32">
        <v>0</v>
      </c>
      <c r="Y26" s="32">
        <v>0</v>
      </c>
      <c r="Z26" s="32">
        <v>0</v>
      </c>
      <c r="AA26" s="32">
        <v>0</v>
      </c>
      <c r="AB26" s="258">
        <v>0</v>
      </c>
      <c r="AD26" s="30" t="s">
        <v>81</v>
      </c>
      <c r="AE26" s="257">
        <v>0</v>
      </c>
      <c r="AF26" s="31">
        <v>0</v>
      </c>
      <c r="AG26" s="31">
        <v>0</v>
      </c>
      <c r="AH26" s="31">
        <v>0</v>
      </c>
      <c r="AI26" s="32">
        <v>0</v>
      </c>
      <c r="AJ26" s="32">
        <v>0</v>
      </c>
      <c r="AK26" s="32">
        <v>0</v>
      </c>
      <c r="AL26" s="32">
        <v>0</v>
      </c>
      <c r="AM26" s="32">
        <v>0</v>
      </c>
      <c r="AN26" s="32">
        <v>0</v>
      </c>
      <c r="AO26" s="32">
        <v>0</v>
      </c>
      <c r="AP26" s="258">
        <v>0</v>
      </c>
      <c r="AR26" s="30" t="s">
        <v>81</v>
      </c>
      <c r="AS26" s="257">
        <v>0</v>
      </c>
      <c r="AT26" s="31">
        <v>0</v>
      </c>
      <c r="AU26" s="31">
        <v>0</v>
      </c>
      <c r="AV26" s="31">
        <v>0</v>
      </c>
      <c r="AW26" s="32">
        <v>0</v>
      </c>
      <c r="AX26" s="32">
        <v>0</v>
      </c>
      <c r="AY26" s="32">
        <v>0</v>
      </c>
      <c r="AZ26" s="32">
        <v>0</v>
      </c>
      <c r="BA26" s="32">
        <v>0</v>
      </c>
      <c r="BB26" s="32">
        <v>0</v>
      </c>
      <c r="BC26" s="32">
        <v>0</v>
      </c>
      <c r="BD26" s="258">
        <v>0</v>
      </c>
    </row>
    <row r="27" spans="2:56" ht="19.5" customHeight="1">
      <c r="B27" s="33" t="s">
        <v>82</v>
      </c>
      <c r="C27" s="259"/>
      <c r="D27" s="34"/>
      <c r="E27" s="34"/>
      <c r="F27" s="34"/>
      <c r="G27" s="34"/>
      <c r="H27" s="34"/>
      <c r="I27" s="34"/>
      <c r="J27" s="34"/>
      <c r="K27" s="34"/>
      <c r="L27" s="34"/>
      <c r="M27" s="34"/>
      <c r="N27" s="260"/>
      <c r="P27" s="33" t="s">
        <v>82</v>
      </c>
      <c r="Q27" s="259"/>
      <c r="R27" s="34"/>
      <c r="S27" s="34"/>
      <c r="T27" s="34"/>
      <c r="U27" s="34"/>
      <c r="V27" s="34"/>
      <c r="W27" s="34"/>
      <c r="X27" s="34"/>
      <c r="Y27" s="34"/>
      <c r="Z27" s="34"/>
      <c r="AA27" s="34"/>
      <c r="AB27" s="260"/>
      <c r="AD27" s="33" t="s">
        <v>82</v>
      </c>
      <c r="AE27" s="259"/>
      <c r="AF27" s="34"/>
      <c r="AG27" s="34"/>
      <c r="AH27" s="34"/>
      <c r="AI27" s="34"/>
      <c r="AJ27" s="34"/>
      <c r="AK27" s="34"/>
      <c r="AL27" s="34"/>
      <c r="AM27" s="34"/>
      <c r="AN27" s="34"/>
      <c r="AO27" s="34"/>
      <c r="AP27" s="260"/>
      <c r="AR27" s="33" t="s">
        <v>82</v>
      </c>
      <c r="AS27" s="259"/>
      <c r="AT27" s="34"/>
      <c r="AU27" s="34"/>
      <c r="AV27" s="34"/>
      <c r="AW27" s="34"/>
      <c r="AX27" s="34"/>
      <c r="AY27" s="34"/>
      <c r="AZ27" s="34"/>
      <c r="BA27" s="34"/>
      <c r="BB27" s="34"/>
      <c r="BC27" s="34"/>
      <c r="BD27" s="260"/>
    </row>
    <row r="28" spans="2:56" ht="19.5" customHeight="1" thickBot="1">
      <c r="B28" s="35" t="s">
        <v>83</v>
      </c>
      <c r="C28" s="261">
        <f>C25*C26*C27</f>
        <v>0</v>
      </c>
      <c r="D28" s="262">
        <f aca="true" t="shared" si="28" ref="D28:N28">D25*D26*D27</f>
        <v>0</v>
      </c>
      <c r="E28" s="262">
        <f t="shared" si="28"/>
        <v>0</v>
      </c>
      <c r="F28" s="262">
        <f t="shared" si="28"/>
        <v>0</v>
      </c>
      <c r="G28" s="262">
        <f t="shared" si="28"/>
        <v>0</v>
      </c>
      <c r="H28" s="262">
        <f t="shared" si="28"/>
        <v>0</v>
      </c>
      <c r="I28" s="262">
        <f t="shared" si="28"/>
        <v>0</v>
      </c>
      <c r="J28" s="262">
        <f t="shared" si="28"/>
        <v>0</v>
      </c>
      <c r="K28" s="262">
        <f t="shared" si="28"/>
        <v>0</v>
      </c>
      <c r="L28" s="262">
        <f t="shared" si="28"/>
        <v>0</v>
      </c>
      <c r="M28" s="262">
        <f t="shared" si="28"/>
        <v>0</v>
      </c>
      <c r="N28" s="263">
        <f t="shared" si="28"/>
        <v>0</v>
      </c>
      <c r="P28" s="35" t="s">
        <v>83</v>
      </c>
      <c r="Q28" s="261">
        <f>Q25*Q26*Q27</f>
        <v>0</v>
      </c>
      <c r="R28" s="262">
        <f aca="true" t="shared" si="29" ref="R28:AB28">R25*R26*R27</f>
        <v>0</v>
      </c>
      <c r="S28" s="262">
        <f t="shared" si="29"/>
        <v>0</v>
      </c>
      <c r="T28" s="262">
        <f t="shared" si="29"/>
        <v>0</v>
      </c>
      <c r="U28" s="262">
        <f t="shared" si="29"/>
        <v>0</v>
      </c>
      <c r="V28" s="262">
        <f t="shared" si="29"/>
        <v>0</v>
      </c>
      <c r="W28" s="262">
        <f t="shared" si="29"/>
        <v>0</v>
      </c>
      <c r="X28" s="262">
        <f t="shared" si="29"/>
        <v>0</v>
      </c>
      <c r="Y28" s="262">
        <f t="shared" si="29"/>
        <v>0</v>
      </c>
      <c r="Z28" s="262">
        <f t="shared" si="29"/>
        <v>0</v>
      </c>
      <c r="AA28" s="262">
        <f t="shared" si="29"/>
        <v>0</v>
      </c>
      <c r="AB28" s="263">
        <f t="shared" si="29"/>
        <v>0</v>
      </c>
      <c r="AD28" s="35" t="s">
        <v>83</v>
      </c>
      <c r="AE28" s="261">
        <f>AE25*AE26*AE27</f>
        <v>0</v>
      </c>
      <c r="AF28" s="262">
        <f aca="true" t="shared" si="30" ref="AF28:AP28">AF25*AF26*AF27</f>
        <v>0</v>
      </c>
      <c r="AG28" s="262">
        <f t="shared" si="30"/>
        <v>0</v>
      </c>
      <c r="AH28" s="262">
        <f t="shared" si="30"/>
        <v>0</v>
      </c>
      <c r="AI28" s="262">
        <f t="shared" si="30"/>
        <v>0</v>
      </c>
      <c r="AJ28" s="262">
        <f t="shared" si="30"/>
        <v>0</v>
      </c>
      <c r="AK28" s="262">
        <f t="shared" si="30"/>
        <v>0</v>
      </c>
      <c r="AL28" s="262">
        <f t="shared" si="30"/>
        <v>0</v>
      </c>
      <c r="AM28" s="262">
        <f t="shared" si="30"/>
        <v>0</v>
      </c>
      <c r="AN28" s="262">
        <f t="shared" si="30"/>
        <v>0</v>
      </c>
      <c r="AO28" s="262">
        <f t="shared" si="30"/>
        <v>0</v>
      </c>
      <c r="AP28" s="263">
        <f t="shared" si="30"/>
        <v>0</v>
      </c>
      <c r="AR28" s="35" t="s">
        <v>83</v>
      </c>
      <c r="AS28" s="261">
        <f>AS25*AS26*AS27</f>
        <v>0</v>
      </c>
      <c r="AT28" s="262">
        <f aca="true" t="shared" si="31" ref="AT28:BD28">AT25*AT26*AT27</f>
        <v>0</v>
      </c>
      <c r="AU28" s="262">
        <f t="shared" si="31"/>
        <v>0</v>
      </c>
      <c r="AV28" s="262">
        <f t="shared" si="31"/>
        <v>0</v>
      </c>
      <c r="AW28" s="262">
        <f t="shared" si="31"/>
        <v>0</v>
      </c>
      <c r="AX28" s="262">
        <f t="shared" si="31"/>
        <v>0</v>
      </c>
      <c r="AY28" s="262">
        <f t="shared" si="31"/>
        <v>0</v>
      </c>
      <c r="AZ28" s="262">
        <f t="shared" si="31"/>
        <v>0</v>
      </c>
      <c r="BA28" s="262">
        <f t="shared" si="31"/>
        <v>0</v>
      </c>
      <c r="BB28" s="262">
        <f t="shared" si="31"/>
        <v>0</v>
      </c>
      <c r="BC28" s="262">
        <f t="shared" si="31"/>
        <v>0</v>
      </c>
      <c r="BD28" s="263">
        <f t="shared" si="31"/>
        <v>0</v>
      </c>
    </row>
    <row r="30" ht="25.5" customHeight="1"/>
    <row r="33" ht="12.75">
      <c r="B33" s="264"/>
    </row>
  </sheetData>
  <sheetProtection/>
  <mergeCells count="76">
    <mergeCell ref="AJ1:AY1"/>
    <mergeCell ref="AZ1:BO1"/>
    <mergeCell ref="BP1:CE1"/>
    <mergeCell ref="CF1:CU1"/>
    <mergeCell ref="CV1:DK1"/>
    <mergeCell ref="ER2:FG2"/>
    <mergeCell ref="EB2:EQ2"/>
    <mergeCell ref="GN1:HC1"/>
    <mergeCell ref="HD1:HS1"/>
    <mergeCell ref="HT1:II1"/>
    <mergeCell ref="IJ1:IV1"/>
    <mergeCell ref="DL1:EA1"/>
    <mergeCell ref="EB1:EQ1"/>
    <mergeCell ref="ER1:FG1"/>
    <mergeCell ref="FH1:FW1"/>
    <mergeCell ref="FX1:GM1"/>
    <mergeCell ref="O1:S1"/>
    <mergeCell ref="T1:AI1"/>
    <mergeCell ref="A1:N1"/>
    <mergeCell ref="C17:N17"/>
    <mergeCell ref="BB7:BD7"/>
    <mergeCell ref="C7:E7"/>
    <mergeCell ref="F7:H7"/>
    <mergeCell ref="I7:K7"/>
    <mergeCell ref="L7:N7"/>
    <mergeCell ref="C6:N6"/>
    <mergeCell ref="O2:S2"/>
    <mergeCell ref="T2:AI2"/>
    <mergeCell ref="AJ2:AY2"/>
    <mergeCell ref="AZ2:BO2"/>
    <mergeCell ref="A2:N2"/>
    <mergeCell ref="A3:N3"/>
    <mergeCell ref="T3:AI3"/>
    <mergeCell ref="AJ3:AY3"/>
    <mergeCell ref="AZ3:BO3"/>
    <mergeCell ref="HT2:II2"/>
    <mergeCell ref="IJ2:IV2"/>
    <mergeCell ref="FX2:GM2"/>
    <mergeCell ref="GN2:HC2"/>
    <mergeCell ref="HD2:HS2"/>
    <mergeCell ref="BP2:CE2"/>
    <mergeCell ref="CF2:CU2"/>
    <mergeCell ref="CV2:DK2"/>
    <mergeCell ref="DL2:EA2"/>
    <mergeCell ref="FH2:FW2"/>
    <mergeCell ref="BP3:CE3"/>
    <mergeCell ref="CF3:CU3"/>
    <mergeCell ref="O3:S3"/>
    <mergeCell ref="FX3:GM3"/>
    <mergeCell ref="GN3:HC3"/>
    <mergeCell ref="HD3:HS3"/>
    <mergeCell ref="HT3:II3"/>
    <mergeCell ref="IJ3:IV3"/>
    <mergeCell ref="CV3:DK3"/>
    <mergeCell ref="DL3:EA3"/>
    <mergeCell ref="EB3:EQ3"/>
    <mergeCell ref="ER3:FG3"/>
    <mergeCell ref="FH3:FW3"/>
    <mergeCell ref="AK7:AM7"/>
    <mergeCell ref="AN7:AP7"/>
    <mergeCell ref="AE17:AP17"/>
    <mergeCell ref="Q6:AB6"/>
    <mergeCell ref="Q7:S7"/>
    <mergeCell ref="T7:V7"/>
    <mergeCell ref="W7:Y7"/>
    <mergeCell ref="Z7:AB7"/>
    <mergeCell ref="A4:H4"/>
    <mergeCell ref="AS6:BD6"/>
    <mergeCell ref="AS7:AU7"/>
    <mergeCell ref="AV7:AX7"/>
    <mergeCell ref="AY7:BA7"/>
    <mergeCell ref="AS17:BD17"/>
    <mergeCell ref="Q17:AB17"/>
    <mergeCell ref="AE6:AP6"/>
    <mergeCell ref="AE7:AG7"/>
    <mergeCell ref="AH7:AJ7"/>
  </mergeCells>
  <printOptions/>
  <pageMargins left="0.28" right="0.53" top="0.23" bottom="0.7480314960629921" header="0.31496062992125984" footer="0.31496062992125984"/>
  <pageSetup horizontalDpi="600" verticalDpi="600" orientation="landscape" paperSize="9" scale="84" r:id="rId1"/>
  <colBreaks count="4" manualBreakCount="4">
    <brk id="14" max="65535" man="1"/>
    <brk id="28" max="65535" man="1"/>
    <brk id="42" max="65535" man="1"/>
    <brk id="5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KHankeshi</dc:creator>
  <cp:keywords/>
  <dc:description/>
  <cp:lastModifiedBy>zhila jafarian</cp:lastModifiedBy>
  <cp:lastPrinted>2014-04-15T07:59:03Z</cp:lastPrinted>
  <dcterms:created xsi:type="dcterms:W3CDTF">2001-07-28T09:47:37Z</dcterms:created>
  <dcterms:modified xsi:type="dcterms:W3CDTF">2014-04-16T11:29:05Z</dcterms:modified>
  <cp:category/>
  <cp:version/>
  <cp:contentType/>
  <cp:contentStatus/>
</cp:coreProperties>
</file>